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xjWtPX4OIu1mE0yk7l4v+lWs1bHsTQc7bYG03Sm4tufhI6/a17NBGM+V+tsavcVVhMhrhSBvEzJR0Yt3n9XWJg==" workbookSaltValue="X3dmuRe0mNkODAeCJ2C/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G15" i="11"/>
  <c r="AP17" i="20"/>
  <c r="BU10" i="17"/>
  <c r="BW11" i="20"/>
  <c r="BU16" i="17"/>
  <c r="T13" i="16"/>
  <c r="AZ12" i="11"/>
  <c r="BH10" i="11"/>
  <c r="BH10" i="16"/>
  <c r="S17" i="17"/>
  <c r="BH12" i="16"/>
  <c r="T13" i="20"/>
  <c r="BF15" i="8"/>
  <c r="BF9" i="8"/>
  <c r="AU18" i="21"/>
  <c r="AH13" i="16"/>
  <c r="L12" i="2"/>
  <c r="X15" i="16"/>
  <c r="X18" i="16" s="1"/>
  <c r="AP13" i="16"/>
  <c r="T18" i="17"/>
  <c r="BG15" i="13"/>
  <c r="BE16" i="13"/>
  <c r="BE15" i="13"/>
  <c r="AX20" i="20"/>
  <c r="S19" i="8" l="1"/>
  <c r="BG10" i="8"/>
  <c r="B9" i="6"/>
  <c r="BI15" i="11"/>
  <c r="V11" i="11"/>
  <c r="BL17" i="11"/>
  <c r="BH17" i="16"/>
  <c r="T9" i="11"/>
  <c r="C12" i="14"/>
  <c r="K12" i="14" s="1"/>
  <c r="V9" i="16"/>
  <c r="V10" i="16"/>
  <c r="L17" i="2"/>
  <c r="S16" i="17"/>
  <c r="S15" i="17"/>
  <c r="BK10" i="11"/>
  <c r="BM9" i="11"/>
  <c r="BM17"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L13" i="11"/>
  <c r="B13" i="6"/>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<sst xmlns="http://schemas.openxmlformats.org/spreadsheetml/2006/main" count="2102" uniqueCount="918">
  <si>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</si>
  <si>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</si>
  <si>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</si>
  <si>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</si>
  <si>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</si>
  <si>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</si>
  <si>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</si>
  <si>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</si>
  <si>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</si>
  <si>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</si>
  <si>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</si>
  <si>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</si>
  <si>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</si>
  <si>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</si>
  <si>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</si>
  <si>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</si>
  <si>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</si>
  <si>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</si>
  <si>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</si>
  <si>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</si>
  <si>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</si>
  <si>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</si>
  <si>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</si>
  <si>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</si>
  <si>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</si>
  <si>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</si>
  <si>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</si>
  <si>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</si>
  <si>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</si>
  <si>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</si>
  <si>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</si>
  <si>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</si>
  <si>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</si>
  <si>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</si>
  <si>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</si>
  <si>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</si>
  <si>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</si>
  <si>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</si>
  <si>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</si>
  <si>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</si>
  <si>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</si>
  <si>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</si>
  <si>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</si>
  <si>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</si>
  <si>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</si>
  <si>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</si>
  <si>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</si>
  <si>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</si>
  <si>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</si>
  <si>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</si>
  <si>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</si>
  <si>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</si>
  <si>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</si>
  <si>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</si>
  <si>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</si>
  <si>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</si>
  <si>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</si>
  <si>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</si>
  <si>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</si>
  <si>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</si>
  <si>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</si>
  <si>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</si>
  <si>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</si>
  <si>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</si>
  <si>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</si>
  <si>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</si>
  <si>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</si>
  <si>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</si>
  <si>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</si>
  <si>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</si>
  <si>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</si>
  <si>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</si>
  <si>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</si>
  <si>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</si>
  <si>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</si>
  <si>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</si>
  <si>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</si>
  <si>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</si>
  <si>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</si>
  <si>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</si>
  <si>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</si>
  <si>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</si>
  <si>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</si>
  <si>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</si>
  <si>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</si>
  <si>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</si>
  <si>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</si>
  <si>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</si>
  <si>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</si>
  <si>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</si>
  <si>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</si>
  <si>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</si>
  <si>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</si>
  <si>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</si>
  <si>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</si>
  <si>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</si>
  <si>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</si>
  <si>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</si>
  <si>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</si>
  <si>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</si>
  <si>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</si>
  <si>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</si>
  <si>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</si>
  <si>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</si>
  <si>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</si>
  <si>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</si>
  <si>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</si>
  <si>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</si>
  <si>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</si>
  <si>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</si>
  <si>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</si>
  <si>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</si>
  <si>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</si>
  <si>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</si>
  <si>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</si>
  <si>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</si>
  <si>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</si>
  <si>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</si>
  <si>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</si>
  <si>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</si>
  <si>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</si>
  <si>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</si>
  <si>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</si>
  <si>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</si>
  <si>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</si>
  <si>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</si>
  <si>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</si>
  <si>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</si>
  <si>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</si>
  <si>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</si>
  <si>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</si>
  <si>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</si>
  <si>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</si>
  <si>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</si>
  <si>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</si>
  <si>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</si>
  <si>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</si>
  <si>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</si>
  <si>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</si>
  <si>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</si>
  <si>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</si>
  <si>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</si>
  <si>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</si>
  <si>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</si>
  <si>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</si>
  <si>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</si>
  <si>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</si>
  <si>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</si>
  <si>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</si>
  <si>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</si>
  <si>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</si>
  <si>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</si>
  <si>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</si>
  <si>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</si>
  <si>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</si>
  <si>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</si>
  <si>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</si>
  <si>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</si>
  <si>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</si>
  <si>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</si>
  <si>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</si>
  <si>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</si>
  <si>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</si>
  <si>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</si>
  <si>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</si>
  <si>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</si>
  <si>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</si>
  <si>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</si>
  <si>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</si>
  <si>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</si>
  <si>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</si>
  <si>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</si>
  <si>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</si>
  <si>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</si>
  <si>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</si>
  <si>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</si>
  <si>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</si>
  <si>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</si>
  <si>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</si>
  <si>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</si>
  <si>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</si>
  <si>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</si>
  <si>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</si>
  <si>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</si>
  <si>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</si>
  <si>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</si>
  <si>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</si>
  <si>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</si>
  <si>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</si>
  <si>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</si>
  <si>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</si>
  <si>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</si>
  <si>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</si>
  <si>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</si>
  <si>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</si>
  <si>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</si>
  <si>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</si>
  <si>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</si>
  <si>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</si>
  <si>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</si>
  <si>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</si>
  <si>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</si>
  <si>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</si>
  <si>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</si>
  <si>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</si>
  <si>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</si>
  <si>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</si>
  <si>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</si>
  <si>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</si>
  <si>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</si>
  <si>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</si>
  <si>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</si>
  <si>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</si>
  <si>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</si>
  <si>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</si>
  <si>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</si>
  <si>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</si>
  <si>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</si>
  <si>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</si>
  <si>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</si>
  <si>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</si>
  <si>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</si>
  <si>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</si>
  <si>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</si>
  <si>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</si>
  <si>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</si>
  <si>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</si>
  <si>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</si>
  <si>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</si>
  <si>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</si>
  <si>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</si>
  <si>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</si>
  <si>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</si>
  <si>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</si>
  <si>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</si>
  <si>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</si>
  <si>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</si>
  <si>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</si>
  <si>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</si>
  <si>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</si>
  <si>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</si>
  <si>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</si>
  <si>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</si>
  <si>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</si>
  <si>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</si>
  <si>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</si>
  <si>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</si>
  <si>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</si>
  <si>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</si>
  <si>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</si>
  <si>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</si>
  <si>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</si>
  <si>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</si>
  <si>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</si>
  <si>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</si>
  <si>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</si>
  <si>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</si>
  <si>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</si>
  <si>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</si>
  <si>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</si>
  <si>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</si>
  <si>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</si>
  <si>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</si>
  <si>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</si>
  <si>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</si>
  <si>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</si>
  <si>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</si>
  <si>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</si>
  <si>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</si>
  <si>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</si>
  <si>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</si>
  <si>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</si>
  <si>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</si>
  <si>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</si>
  <si>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</si>
  <si>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</si>
  <si>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</si>
  <si>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</si>
  <si>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</si>
  <si>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</si>
  <si>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</si>
  <si>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</si>
  <si>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</si>
  <si>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</si>
  <si>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</si>
  <si>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</si>
  <si>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</si>
  <si>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</si>
  <si>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</si>
  <si>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</si>
  <si>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</si>
  <si>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</si>
  <si>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</si>
  <si>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</si>
  <si>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</si>
  <si>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</si>
  <si>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</si>
  <si>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</si>
  <si>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</si>
  <si>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</si>
  <si>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</si>
  <si>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</si>
  <si>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</si>
  <si>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</si>
  <si>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</si>
  <si>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</si>
  <si>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</si>
  <si>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</si>
  <si>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</si>
  <si>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</si>
  <si>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</si>
  <si>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</si>
  <si>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</si>
  <si>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</si>
  <si>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</si>
  <si>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</si>
  <si>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</si>
  <si>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</si>
  <si>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</si>
  <si>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</si>
  <si>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</si>
  <si>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</si>
  <si>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</si>
  <si>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</si>
  <si>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</si>
  <si>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</si>
  <si>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</si>
  <si>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</si>
  <si>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</si>
  <si>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</si>
  <si>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</si>
  <si>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</si>
  <si>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</si>
  <si>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</si>
  <si>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</si>
  <si>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</si>
  <si>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</si>
  <si>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</si>
  <si>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</si>
  <si>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</si>
  <si>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</si>
  <si>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</si>
  <si>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</si>
  <si>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</si>
  <si>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</si>
  <si>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</si>
  <si>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</si>
  <si>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</si>
  <si>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</si>
  <si>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</si>
  <si>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</si>
  <si>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</si>
  <si>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</si>
  <si>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</si>
  <si>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</si>
  <si>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</si>
  <si>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</si>
  <si>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</si>
  <si>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</si>
  <si>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</si>
  <si>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</si>
  <si>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</si>
  <si>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</si>
  <si>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</si>
  <si>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</si>
  <si>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</si>
  <si>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</si>
  <si>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</si>
  <si>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</si>
  <si>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</si>
  <si>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</si>
  <si>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</si>
  <si>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</si>
  <si>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</si>
  <si>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</si>
  <si>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</si>
  <si>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</si>
  <si>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</si>
  <si>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</si>
  <si>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</si>
  <si>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</si>
  <si>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</si>
  <si>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</si>
  <si>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</si>
  <si>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</si>
  <si>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</si>
  <si>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</si>
  <si>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</si>
  <si>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</si>
  <si>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</si>
  <si>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</si>
  <si>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</si>
  <si>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</si>
  <si>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</si>
  <si>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</si>
  <si>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</si>
  <si>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</si>
  <si>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</si>
  <si>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</si>
  <si>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</si>
  <si>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</si>
  <si>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</si>
  <si>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</si>
  <si>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</si>
  <si>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</si>
  <si>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</si>
  <si>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</si>
  <si>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</si>
  <si>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</si>
  <si>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</si>
  <si>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</si>
  <si>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</si>
  <si>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</si>
  <si>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</si>
  <si>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</si>
  <si>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</si>
  <si>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</si>
  <si>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</si>
  <si>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</si>
  <si>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</si>
  <si>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</si>
  <si>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</si>
  <si>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</si>
  <si>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</si>
  <si>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</si>
  <si>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</si>
  <si>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</si>
  <si>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</si>
  <si>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</si>
  <si>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</si>
  <si>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</si>
  <si>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</si>
  <si>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</si>
  <si>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</si>
  <si>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</si>
  <si>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</si>
  <si>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</si>
  <si>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</si>
  <si>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</si>
  <si>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</si>
  <si>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</si>
  <si>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</si>
  <si>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</si>
  <si>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</si>
  <si>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</si>
  <si>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</si>
  <si>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</si>
  <si>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</si>
  <si>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</si>
  <si>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</si>
  <si>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</si>
  <si>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</si>
  <si>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</si>
  <si>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</si>
  <si>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</si>
  <si>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</si>
  <si>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</si>
  <si>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</si>
  <si>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</si>
  <si>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</si>
  <si>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</si>
  <si>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</si>
  <si>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</si>
  <si>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</si>
  <si>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</si>
  <si>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</si>
  <si>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</si>
  <si>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</si>
  <si>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</si>
  <si>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</si>
  <si>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</si>
  <si>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</si>
  <si>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</si>
  <si>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</si>
  <si>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</si>
  <si>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</si>
  <si>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</si>
  <si>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</si>
  <si>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</si>
  <si>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</si>
  <si>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</si>
  <si>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</si>
  <si>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</si>
  <si>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</si>
  <si>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</si>
  <si>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</si>
  <si>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</si>
  <si>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</si>
  <si>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</si>
  <si>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</si>
  <si>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</si>
  <si>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</si>
  <si>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</si>
  <si>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</si>
  <si>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</si>
  <si>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</si>
  <si>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</si>
  <si>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</si>
  <si>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</si>
  <si>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</si>
  <si>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</si>
  <si>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</si>
  <si>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</si>
  <si>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</si>
  <si>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</si>
  <si>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</si>
  <si>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</si>
  <si>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</si>
  <si>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</si>
  <si>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</si>
  <si>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</si>
  <si>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</si>
  <si>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</si>
  <si>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</si>
  <si>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</si>
  <si>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</si>
  <si>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</si>
  <si>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</si>
  <si>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</si>
  <si>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</si>
  <si>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</si>
  <si>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</si>
  <si>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</si>
  <si>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</si>
  <si>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</si>
  <si>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</si>
  <si>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</si>
  <si>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</si>
  <si>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</si>
  <si>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</si>
  <si>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</si>
  <si>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</si>
  <si>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</si>
  <si>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</si>
  <si>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</si>
  <si>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</si>
  <si>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</si>
  <si>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</si>
  <si>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</si>
  <si>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</si>
  <si>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</si>
  <si>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</si>
  <si>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</si>
  <si>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</si>
  <si>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</si>
  <si>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</si>
  <si>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</si>
  <si>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</si>
  <si>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</si>
  <si>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</si>
  <si>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</si>
  <si>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</si>
  <si>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</si>
  <si>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</si>
  <si>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</si>
  <si>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</si>
  <si>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</si>
  <si>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</si>
  <si>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</si>
  <si>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</si>
  <si>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</si>
  <si>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</si>
  <si>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</si>
  <si>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</si>
  <si>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</si>
  <si>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</si>
  <si>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</si>
  <si>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</si>
  <si>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</si>
  <si>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</si>
  <si>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</si>
  <si>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</si>
  <si>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</si>
  <si>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</si>
  <si>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</si>
  <si>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</si>
  <si>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</si>
  <si>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</si>
  <si>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</si>
  <si>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</si>
  <si>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</si>
  <si>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</si>
  <si>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</si>
  <si>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</si>
  <si>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</si>
  <si>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</si>
  <si>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</si>
  <si>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</si>
  <si>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</si>
  <si>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</si>
  <si>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</si>
  <si>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</si>
  <si>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</si>
  <si>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</si>
  <si>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</si>
  <si>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</si>
  <si>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</si>
  <si>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</si>
  <si>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</si>
  <si>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</si>
  <si>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</si>
  <si>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</si>
  <si>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</si>
  <si>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</si>
  <si>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</si>
  <si>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</si>
  <si>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</si>
  <si>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</si>
  <si>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</si>
  <si>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</si>
  <si>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</si>
  <si>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</si>
  <si>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</si>
  <si>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</si>
  <si>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</si>
  <si>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</si>
  <si>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</si>
  <si>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</si>
  <si>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</si>
  <si>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</si>
  <si>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</si>
  <si>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</si>
  <si>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</si>
  <si>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</si>
  <si>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</si>
  <si>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</si>
  <si>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</si>
  <si>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</si>
  <si>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</si>
  <si>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</si>
  <si>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</si>
  <si>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</si>
  <si>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</si>
  <si>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</si>
  <si>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</si>
  <si>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</si>
  <si>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</si>
  <si>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</si>
  <si>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</si>
  <si>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</si>
  <si>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</si>
  <si>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</si>
  <si>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</si>
  <si>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</si>
  <si>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</si>
  <si>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</si>
  <si>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</si>
  <si>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</si>
  <si>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</si>
  <si>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</si>
  <si>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</si>
  <si>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</si>
  <si>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</si>
  <si>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</si>
  <si>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</si>
  <si>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</si>
  <si>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</si>
  <si>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</si>
  <si>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</si>
  <si>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</si>
  <si>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</si>
  <si>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</si>
  <si>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</si>
  <si>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</si>
  <si>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</si>
  <si>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</si>
  <si>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</si>
  <si>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</si>
  <si>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</si>
  <si>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</si>
  <si>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</si>
  <si>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</si>
  <si>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</si>
  <si>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</si>
  <si>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</si>
  <si>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</si>
  <si>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</si>
  <si>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</si>
  <si>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</si>
  <si>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</si>
  <si>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</si>
  <si>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</si>
  <si>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</si>
  <si>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</si>
  <si>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</si>
  <si>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</si>
  <si>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</si>
  <si>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</si>
  <si>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</si>
  <si>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</si>
  <si>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</si>
  <si>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</si>
  <si>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</si>
  <si>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</si>
  <si>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</si>
  <si>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</si>
  <si>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</si>
  <si>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</si>
  <si>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</si>
  <si>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</si>
  <si>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</si>
  <si>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</si>
  <si>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</si>
  <si>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</si>
  <si>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</si>
  <si>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</si>
  <si>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</si>
  <si>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</si>
  <si>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</si>
  <si>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</si>
  <si>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</si>
  <si>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</si>
  <si>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</si>
  <si>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</si>
  <si>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</si>
  <si>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</si>
  <si>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</si>
  <si>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</si>
  <si>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</si>
  <si>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</si>
  <si>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</si>
  <si>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</si>
  <si>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</si>
  <si>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</si>
  <si>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</si>
  <si>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</si>
  <si>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</si>
  <si>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</si>
  <si>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</si>
  <si>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</si>
  <si>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</si>
  <si>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</si>
  <si>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</si>
  <si>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</si>
  <si>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</si>
  <si>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</si>
  <si>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</si>
  <si>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</si>
  <si>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</si>
  <si>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</si>
  <si>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</si>
  <si>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</si>
  <si>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</si>
  <si>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</si>
  <si>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</si>
  <si>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</si>
  <si>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</si>
  <si>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</si>
  <si>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</si>
  <si>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</si>
  <si>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</si>
  <si>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</si>
  <si>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</si>
  <si>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</si>
  <si>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</si>
  <si>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</si>
  <si>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</si>
  <si>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</si>
  <si>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</si>
  <si>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</si>
  <si>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</si>
  <si>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</si>
  <si>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</si>
  <si>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</si>
  <si>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</si>
  <si>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</si>
  <si>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</si>
  <si>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</si>
  <si>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</si>
  <si>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</si>
  <si>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</si>
  <si>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</si>
  <si>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</si>
  <si>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</si>
  <si>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</si>
  <si>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</si>
  <si>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</si>
  <si>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</si>
  <si>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</si>
  <si>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</si>
  <si>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</si>
  <si>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</si>
  <si>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</si>
  <si>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</si>
  <si>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</si>
  <si>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</si>
  <si>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</si>
  <si>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</si>
  <si>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</si>
  <si>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</si>
  <si>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</si>
  <si>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</si>
  <si>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</si>
  <si>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</si>
  <si>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</si>
  <si>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</si>
  <si>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</si>
  <si>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</si>
  <si>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</si>
  <si>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</si>
  <si>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</si>
  <si>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</si>
  <si>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</si>
  <si>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</si>
  <si>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</si>
  <si>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</si>
  <si>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</si>
  <si>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</si>
  <si>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</si>
  <si>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</si>
  <si>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</si>
  <si>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</si>
  <si>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</si>
  <si>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</si>
  <si>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</si>
  <si>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</si>
  <si>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</si>
  <si>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</si>
  <si>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</si>
  <si>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</si>
  <si>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</si>
  <si>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</si>
  <si>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</si>
  <si>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</si>
  <si>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</si>
  <si>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</si>
  <si>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</si>
  <si>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</si>
  <si>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</si>
  <si>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</si>
  <si>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</si>
  <si>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</si>
  <si>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</si>
  <si>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</si>
  <si>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</si>
  <si>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</si>
  <si>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</si>
  <si>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</si>
  <si>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</si>
  <si>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</si>
  <si>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</si>
  <si>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</si>
  <si>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</si>
  <si>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</si>
  <si>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</si>
  <si>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</si>
  <si>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</si>
  <si>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</si>
  <si>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</si>
  <si>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</si>
  <si>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</si>
  <si>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</si>
  <si>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</si>
  <si>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</si>
  <si>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</si>
  <si>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</si>
  <si>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</si>
  <si>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</si>
  <si>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</si>
  <si>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</si>
  <si>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</si>
  <si>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</si>
  <si>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</si>
  <si>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</si>
  <si>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</si>
  <si>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</si>
  <si>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</si>
  <si>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</si>
  <si>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</si>
  <si>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</si>
  <si>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</si>
  <si>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</si>
  <si>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</si>
  <si>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</si>
  <si>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</si>
  <si>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</si>
  <si>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</si>
  <si>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</si>
  <si>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</si>
  <si>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</si>
  <si>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</si>
  <si>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</si>
  <si>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</si>
  <si>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</si>
  <si>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</si>
  <si>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</si>
  <si>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</si>
  <si>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</si>
  <si>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</si>
  <si>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</si>
  <si>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</si>
  <si>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</si>
  <si>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</si>
  <si>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</si>
  <si>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</si>
  <si>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</si>
  <si>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</si>
  <si>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</si>
  <si>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</si>
  <si>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</si>
  <si>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</si>
  <si>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</si>
  <si>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</si>
  <si>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</si>
  <si>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</si>
  <si>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</si>
  <si>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</si>
  <si>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</si>
  <si>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</si>
  <si>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</si>
  <si>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</si>
  <si>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</si>
  <si>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</si>
  <si>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</si>
  <si>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</si>
  <si>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</si>
  <si>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</si>
  <si>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EL EJIDO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</si>
</sst>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SZBBgEyauesPK+t34wGnWaD3WjXlo5vqnxzUzWjVDhNoz2aU79CzSxNO2njBmzjjhj+8q5NI+fGDeDYPrCVFQ==" saltValue="dKIZ6kl+tXe6rUaHTMKg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13</v>
      </c>
      <c r="F10" s="226">
        <f>IF(ISNUMBER(Datos!K10),Datos!K10," - ")</f>
        <v>17</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-9.5238095238095233E-2</v>
      </c>
      <c r="L10" s="1025">
        <f>IF(ISNUMBER(NºAsuntos!I10/NºAsuntos!G10),(NºAsuntos!I10/NºAsuntos!G10)*11," - ")</f>
        <v>24.588235294117649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41.801604668125456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13</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1322</v>
      </c>
      <c r="D16" s="225">
        <f>IF(ISNUMBER(IF(D_I="SI",Datos!I16,Datos!I16+Datos!AC16)),IF(D_I="SI",Datos!I16,Datos!I16+Datos!AC16)," - ")</f>
        <v>1285</v>
      </c>
      <c r="E16" s="226">
        <f>IF(ISNUMBER(IF(D_I="SI",Datos!J16,Datos!J16+Datos!AD16)),IF(D_I="SI",Datos!J16,Datos!J16+Datos!AD16)," - ")</f>
        <v>1320</v>
      </c>
      <c r="F16" s="226">
        <f>IF(ISNUMBER(IF(D_I="SI",Datos!K16,Datos!K16+Datos!AE16)),IF(D_I="SI",Datos!K16,Datos!K16+Datos!AE16)," - ")</f>
        <v>1238</v>
      </c>
      <c r="G16" s="1034" t="str">
        <f>IF(Datos!E16&lt;&gt;"",Datos!E16,Datos!D16)</f>
        <v>04</v>
      </c>
      <c r="H16" s="227">
        <f>IF(ISNUMBER(IF(D_I="SI",Datos!L16,Datos!L16+Datos!AF16)),IF(D_I="SI",Datos!L16,Datos!L16+Datos!AF16)," - ")</f>
        <v>1404</v>
      </c>
      <c r="I16" s="1044" t="str">
        <f>IF(ISNUMBER(Datos!AS16/Datos!BM16),Datos!AS16/Datos!BM16," - ")</f>
        <v xml:space="preserve"> - </v>
      </c>
      <c r="J16" s="1045">
        <f>IF(ISNUMBER(Datos!BY16/Datos!CN16),Datos!BY16/Datos!CN16," - ")</f>
        <v>0</v>
      </c>
      <c r="K16" s="230">
        <f t="shared" si="3"/>
        <v>6.2027231467473527E-2</v>
      </c>
      <c r="L16" s="1025">
        <f>IF(ISNUMBER(NºAsuntos!I16/NºAsuntos!G16),(NºAsuntos!I16/NºAsuntos!G16)*11," - ")</f>
        <v>12.474959612277868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115</v>
      </c>
      <c r="F17" s="226">
        <f>IF(ISNUMBER(IF(D_I="SI",Datos!K17,Datos!K17+Datos!AE17)),IF(D_I="SI",Datos!K17,Datos!K17+Datos!AE17)," - ")</f>
        <v>91</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0.51063829787234039</v>
      </c>
      <c r="L17" s="1025">
        <f>IF(ISNUMBER(NºAsuntos!I17/NºAsuntos!G17),(NºAsuntos!I17/NºAsuntos!G17)*11," - ")</f>
        <v>8.5824175824175821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1369</v>
      </c>
      <c r="D18" s="1049">
        <f>SUBTOTAL(9,D15:D17)</f>
        <v>1332</v>
      </c>
      <c r="E18" s="1050">
        <f>SUBTOTAL(9,E15:E17)</f>
        <v>1435</v>
      </c>
      <c r="F18" s="1050">
        <f>SUBTOTAL(9,F15:F17)</f>
        <v>1329</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1411</v>
      </c>
      <c r="D19" s="1071">
        <f>SUBTOTAL(9,D9:D18)</f>
        <v>1374</v>
      </c>
      <c r="E19" s="1072">
        <f>SUBTOTAL(9,E9:E18)</f>
        <v>1448</v>
      </c>
      <c r="F19" s="1072">
        <f>SUBTOTAL(9,F9:F18)</f>
        <v>1346</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dH5f+K7byRqusPAarAqKXB9xOCS3w8KbYVc56wHzfdRGvPBDIfx+BX9SnCdxY214NwIo+tsgim/SQsDkuZOBg==" saltValue="NHK+7GAktP4IKzT5Qs2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3yrfZfVVW0c+o4Tk/7sXULB1HgrfmyC682CIFRKXx/iOVztgKs0J61PwOkQJQzXzjUOllckuV3OLadedig/2g==" saltValue="+nXRuzw3LAL0Y8TbvUDZ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13</v>
      </c>
      <c r="K10" s="181">
        <v>17</v>
      </c>
      <c r="L10" s="181">
        <v>38</v>
      </c>
      <c r="M10" s="181">
        <v>13</v>
      </c>
      <c r="N10" s="181">
        <v>3</v>
      </c>
      <c r="O10" s="181">
        <v>0</v>
      </c>
      <c r="P10" s="181">
        <v>3</v>
      </c>
      <c r="Q10" s="181">
        <v>0</v>
      </c>
      <c r="R10" s="181">
        <v>3</v>
      </c>
      <c r="S10" s="181">
        <v>36</v>
      </c>
      <c r="T10" s="181">
        <v>9</v>
      </c>
      <c r="U10" s="181">
        <v>8</v>
      </c>
      <c r="V10" s="181">
        <v>37</v>
      </c>
      <c r="W10" s="181">
        <v>7</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9</v>
      </c>
      <c r="BA10" s="129">
        <f t="shared" si="0"/>
        <v>8</v>
      </c>
      <c r="BB10" s="129">
        <f t="shared" si="0"/>
        <v>37</v>
      </c>
      <c r="BC10" s="125">
        <f t="shared" si="0"/>
        <v>7</v>
      </c>
      <c r="BD10" s="126">
        <f>IF(ISNUMBER(BA10/AZ10),BA10/AZ10," - ")</f>
        <v>0.88888888888888884</v>
      </c>
      <c r="BE10" s="127">
        <f>IF(ISNUMBER(BB10/BA10),BB10/BA10, " - ")</f>
        <v>4.625</v>
      </c>
      <c r="BF10" s="127">
        <f>IF(ISNUMBER(BC10/BA10),BC10/BA10, " - ")</f>
        <v>0.875</v>
      </c>
      <c r="BG10" s="196">
        <f>IF(ISNUMBER((AY10+AZ10)/BA10),(AY10+AZ10)/BA10," - ")</f>
        <v>5.625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5115</v>
      </c>
      <c r="J12" s="183">
        <v>1289</v>
      </c>
      <c r="K12" s="183">
        <v>1284</v>
      </c>
      <c r="L12" s="183">
        <v>5120</v>
      </c>
      <c r="M12" s="183">
        <v>316</v>
      </c>
      <c r="N12" s="183">
        <v>692</v>
      </c>
      <c r="O12" s="181">
        <v>458</v>
      </c>
      <c r="P12" s="183">
        <v>311</v>
      </c>
      <c r="Q12" s="183">
        <v>389</v>
      </c>
      <c r="R12" s="183">
        <v>4039</v>
      </c>
      <c r="S12" s="183">
        <v>3782</v>
      </c>
      <c r="T12" s="183">
        <v>1280</v>
      </c>
      <c r="U12" s="183">
        <v>931</v>
      </c>
      <c r="V12" s="183">
        <v>4131</v>
      </c>
      <c r="W12" s="183">
        <v>234</v>
      </c>
      <c r="X12" s="189">
        <v>505</v>
      </c>
      <c r="Y12" s="191">
        <v>68</v>
      </c>
      <c r="Z12" s="181">
        <v>109</v>
      </c>
      <c r="AA12" s="181">
        <v>87</v>
      </c>
      <c r="AB12" s="181">
        <v>90</v>
      </c>
      <c r="AC12" s="183">
        <v>0</v>
      </c>
      <c r="AD12" s="183">
        <v>0</v>
      </c>
      <c r="AE12" s="183">
        <v>0</v>
      </c>
      <c r="AF12" s="189">
        <v>0</v>
      </c>
      <c r="AG12" s="202">
        <v>106</v>
      </c>
      <c r="AH12" s="183">
        <v>107</v>
      </c>
      <c r="AI12" s="183">
        <v>93</v>
      </c>
      <c r="AJ12" s="203">
        <v>120</v>
      </c>
      <c r="AK12" s="182">
        <v>0</v>
      </c>
      <c r="AL12" s="183">
        <v>0</v>
      </c>
      <c r="AM12" s="183">
        <v>0</v>
      </c>
      <c r="AN12" s="189">
        <v>0</v>
      </c>
      <c r="AO12" s="259">
        <v>6</v>
      </c>
      <c r="AP12" s="155">
        <v>6</v>
      </c>
      <c r="AQ12" s="155">
        <v>6</v>
      </c>
      <c r="AR12" s="154">
        <v>6</v>
      </c>
      <c r="AS12" s="340" t="s">
        <v>802</v>
      </c>
      <c r="AT12" s="203"/>
      <c r="AU12" s="202"/>
      <c r="AV12" s="203"/>
      <c r="AW12" s="202"/>
      <c r="AX12" s="203"/>
      <c r="AY12" s="126">
        <f t="shared" si="1"/>
        <v>3888</v>
      </c>
      <c r="AZ12" s="127">
        <f t="shared" si="1"/>
        <v>1387</v>
      </c>
      <c r="BA12" s="127">
        <f t="shared" si="1"/>
        <v>1024</v>
      </c>
      <c r="BB12" s="127">
        <f t="shared" si="1"/>
        <v>4251</v>
      </c>
      <c r="BC12" s="125">
        <f>IF(ISNUMBER(X12),X12," - ")</f>
        <v>505</v>
      </c>
      <c r="BD12" s="126">
        <f t="shared" si="2"/>
        <v>0.73828406633020904</v>
      </c>
      <c r="BE12" s="127">
        <f t="shared" si="3"/>
        <v>4.1513671875</v>
      </c>
      <c r="BF12" s="127">
        <f t="shared" si="4"/>
        <v>0.4931640625</v>
      </c>
      <c r="BG12" s="196">
        <f t="shared" si="5"/>
        <v>5.1513671875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5157</v>
      </c>
      <c r="J13" s="184">
        <f t="shared" si="6"/>
        <v>1302</v>
      </c>
      <c r="K13" s="184">
        <f t="shared" si="6"/>
        <v>1301</v>
      </c>
      <c r="L13" s="184">
        <f t="shared" si="6"/>
        <v>5158</v>
      </c>
      <c r="M13" s="184">
        <f t="shared" si="6"/>
        <v>329</v>
      </c>
      <c r="N13" s="184">
        <f t="shared" si="6"/>
        <v>695</v>
      </c>
      <c r="O13" s="184">
        <f t="shared" si="6"/>
        <v>458</v>
      </c>
      <c r="P13" s="184">
        <f t="shared" si="6"/>
        <v>314</v>
      </c>
      <c r="Q13" s="184">
        <f t="shared" si="6"/>
        <v>389</v>
      </c>
      <c r="R13" s="184">
        <f t="shared" si="6"/>
        <v>4042</v>
      </c>
      <c r="S13" s="184">
        <f t="shared" si="6"/>
        <v>3818</v>
      </c>
      <c r="T13" s="184">
        <f t="shared" si="6"/>
        <v>1289</v>
      </c>
      <c r="U13" s="184">
        <f t="shared" si="6"/>
        <v>939</v>
      </c>
      <c r="V13" s="184">
        <f t="shared" si="6"/>
        <v>4168</v>
      </c>
      <c r="W13" s="184">
        <f t="shared" si="6"/>
        <v>241</v>
      </c>
      <c r="X13" s="184">
        <f t="shared" si="6"/>
        <v>507</v>
      </c>
      <c r="Y13" s="184">
        <f t="shared" si="6"/>
        <v>68</v>
      </c>
      <c r="Z13" s="184">
        <f t="shared" si="6"/>
        <v>109</v>
      </c>
      <c r="AA13" s="184">
        <f t="shared" si="6"/>
        <v>87</v>
      </c>
      <c r="AB13" s="184">
        <f t="shared" si="6"/>
        <v>90</v>
      </c>
      <c r="AC13" s="184">
        <f t="shared" si="6"/>
        <v>0</v>
      </c>
      <c r="AD13" s="184">
        <f t="shared" si="6"/>
        <v>0</v>
      </c>
      <c r="AE13" s="184">
        <f t="shared" si="6"/>
        <v>0</v>
      </c>
      <c r="AF13" s="184">
        <f>SUBTOTAL(9,AF9:AF12)</f>
        <v>0</v>
      </c>
      <c r="AG13" s="184">
        <f t="shared" ref="AG13:AT13" si="7">SUBTOTAL(9,AG8:AG12)</f>
        <v>106</v>
      </c>
      <c r="AH13" s="184">
        <f t="shared" si="7"/>
        <v>107</v>
      </c>
      <c r="AI13" s="184">
        <f t="shared" si="7"/>
        <v>93</v>
      </c>
      <c r="AJ13" s="184">
        <f t="shared" si="7"/>
        <v>120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3924</v>
      </c>
      <c r="AZ13" s="184">
        <f>SUBTOTAL(9,AZ8:AZ12)</f>
        <v>1396</v>
      </c>
      <c r="BA13" s="184">
        <f>SUBTOTAL(9,BA8:BA12)</f>
        <v>1032</v>
      </c>
      <c r="BB13" s="184">
        <f>SUBTOTAL(9,BB8:BB12)</f>
        <v>4288</v>
      </c>
      <c r="BC13" s="184">
        <f>SUBTOTAL(9,BC8:BC12)</f>
        <v>512</v>
      </c>
      <c r="BD13" s="205">
        <f>IF(ISNUMBER(BA13/AZ13),BA13/AZ13," - ")</f>
        <v>0.73925501432664753</v>
      </c>
      <c r="BE13" s="206">
        <f>IF(ISNUMBER(BB13/BA13),BB13/BA13, " - ")</f>
        <v>4.1550387596899228</v>
      </c>
      <c r="BF13" s="206">
        <f>IF(ISNUMBER(BC13/BA13),BC13/BA13, " - ")</f>
        <v>0.49612403100775193</v>
      </c>
      <c r="BG13" s="207">
        <f>IF(ISNUMBER((AY13+AZ13)/BA13),(AY13+AZ13)/BA13," - ")</f>
        <v>5.1550387596899228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1285</v>
      </c>
      <c r="J16" s="183">
        <v>1320</v>
      </c>
      <c r="K16" s="183">
        <v>1238</v>
      </c>
      <c r="L16" s="183">
        <v>1404</v>
      </c>
      <c r="M16" s="183">
        <v>214</v>
      </c>
      <c r="N16" s="183">
        <v>679</v>
      </c>
      <c r="O16" s="181">
        <v>0</v>
      </c>
      <c r="P16" s="183">
        <v>52</v>
      </c>
      <c r="Q16" s="183">
        <v>74</v>
      </c>
      <c r="R16" s="183">
        <v>118</v>
      </c>
      <c r="S16" s="183">
        <v>1021</v>
      </c>
      <c r="T16" s="183">
        <v>1469</v>
      </c>
      <c r="U16" s="183">
        <v>1500</v>
      </c>
      <c r="V16" s="183">
        <v>1012</v>
      </c>
      <c r="W16" s="183">
        <v>182</v>
      </c>
      <c r="X16" s="189">
        <v>930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1021</v>
      </c>
      <c r="AZ16" s="127">
        <f t="shared" si="9"/>
        <v>1469</v>
      </c>
      <c r="BA16" s="127">
        <f t="shared" si="9"/>
        <v>1500</v>
      </c>
      <c r="BB16" s="127">
        <f t="shared" si="9"/>
        <v>1012</v>
      </c>
      <c r="BC16" s="125">
        <f>IF(ISNUMBER(W16),W16," - ")</f>
        <v>182</v>
      </c>
      <c r="BD16" s="126">
        <f t="shared" ref="BD16" si="11">IF(ISNUMBER(BA16/AZ16),BA16/AZ16," - ")</f>
        <v>1.0211027910142954</v>
      </c>
      <c r="BE16" s="127">
        <f t="shared" ref="BE16" si="12">IF(ISNUMBER(BB16/BA16),BB16/BA16, " - ")</f>
        <v>0.67466666666666664</v>
      </c>
      <c r="BF16" s="127">
        <f t="shared" ref="BF16" si="13">IF(ISNUMBER(BC16/BA16),BC16/BA16, " - ")</f>
        <v>0.12133333333333333</v>
      </c>
      <c r="BG16" s="196">
        <f t="shared" si="10"/>
        <v>1.66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115</v>
      </c>
      <c r="K17" s="183">
        <v>91</v>
      </c>
      <c r="L17" s="183">
        <v>71</v>
      </c>
      <c r="M17" s="183">
        <v>51</v>
      </c>
      <c r="N17" s="183">
        <v>57</v>
      </c>
      <c r="O17" s="183">
        <v>0</v>
      </c>
      <c r="P17" s="183">
        <v>1</v>
      </c>
      <c r="Q17" s="183">
        <v>0</v>
      </c>
      <c r="R17" s="183">
        <v>1</v>
      </c>
      <c r="S17" s="183">
        <v>74</v>
      </c>
      <c r="T17" s="183">
        <v>118</v>
      </c>
      <c r="U17" s="183">
        <v>170</v>
      </c>
      <c r="V17" s="183">
        <v>22</v>
      </c>
      <c r="W17" s="183">
        <v>19</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118</v>
      </c>
      <c r="BA17" s="129">
        <f t="shared" si="14"/>
        <v>170</v>
      </c>
      <c r="BB17" s="129">
        <f t="shared" si="14"/>
        <v>22</v>
      </c>
      <c r="BC17" s="125">
        <f>IF(ISNUMBER(W17),W17," - ")</f>
        <v>19</v>
      </c>
      <c r="BD17" s="126">
        <f>IF(ISNUMBER(BA17/AZ17),BA17/AZ17," - ")</f>
        <v>1.4406779661016949</v>
      </c>
      <c r="BE17" s="127">
        <f>IF(ISNUMBER(BB17/BA17),BB17/BA17, " - ")</f>
        <v>0.12941176470588237</v>
      </c>
      <c r="BF17" s="127">
        <f>IF(ISNUMBER(BC17/BA17),BC17/BA17, " - ")</f>
        <v>0.11176470588235295</v>
      </c>
      <c r="BG17" s="196">
        <f>IF(ISNUMBER((AY17+AZ17)/BA17),(AY17+AZ17)/BA17," - ")</f>
        <v>1.1294117647058823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1332</v>
      </c>
      <c r="J18" s="184">
        <f t="shared" si="15"/>
        <v>1435</v>
      </c>
      <c r="K18" s="184">
        <f t="shared" si="15"/>
        <v>1329</v>
      </c>
      <c r="L18" s="184">
        <f t="shared" si="15"/>
        <v>1475</v>
      </c>
      <c r="M18" s="184">
        <f t="shared" si="15"/>
        <v>265</v>
      </c>
      <c r="N18" s="184">
        <f t="shared" si="15"/>
        <v>736</v>
      </c>
      <c r="O18" s="184">
        <f t="shared" si="15"/>
        <v>0</v>
      </c>
      <c r="P18" s="184">
        <f t="shared" si="15"/>
        <v>53</v>
      </c>
      <c r="Q18" s="184">
        <f t="shared" si="15"/>
        <v>74</v>
      </c>
      <c r="R18" s="184">
        <f t="shared" si="15"/>
        <v>119</v>
      </c>
      <c r="S18" s="184">
        <f t="shared" si="15"/>
        <v>1095</v>
      </c>
      <c r="T18" s="184">
        <f t="shared" si="15"/>
        <v>1587</v>
      </c>
      <c r="U18" s="184">
        <f t="shared" si="15"/>
        <v>1670</v>
      </c>
      <c r="V18" s="184">
        <f t="shared" si="15"/>
        <v>1034</v>
      </c>
      <c r="W18" s="184">
        <f t="shared" si="15"/>
        <v>201</v>
      </c>
      <c r="X18" s="184">
        <f t="shared" si="15"/>
        <v>1029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1095</v>
      </c>
      <c r="AZ18" s="184">
        <f>SUBTOTAL(9,AZ14:AZ17)</f>
        <v>1587</v>
      </c>
      <c r="BA18" s="184">
        <f>SUBTOTAL(9,BA14:BA17)</f>
        <v>1670</v>
      </c>
      <c r="BB18" s="184">
        <f>SUBTOTAL(9,BB14:BB17)</f>
        <v>1034</v>
      </c>
      <c r="BC18" s="184">
        <f>SUBTOTAL(9,BC14:BC17)</f>
        <v>201</v>
      </c>
      <c r="BD18" s="205">
        <f>IF(ISNUMBER(BA18/AZ18),BA18/AZ18," - ")</f>
        <v>1.0522999369880277</v>
      </c>
      <c r="BE18" s="206">
        <f>IF(ISNUMBER(BB18/BA18),BB18/BA18, " - ")</f>
        <v>0.61916167664670663</v>
      </c>
      <c r="BF18" s="206">
        <f>IF(ISNUMBER(BC18/BA18),BC18/BA18, " - ")</f>
        <v>0.12035928143712575</v>
      </c>
      <c r="BG18" s="207">
        <f>IF(ISNUMBER((AY18+AZ18)/BA18),(AY18+AZ18)/BA18," - ")</f>
        <v>1.6059880239520958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6489</v>
      </c>
      <c r="J19" s="134">
        <f t="shared" si="18"/>
        <v>2737</v>
      </c>
      <c r="K19" s="134">
        <f t="shared" si="18"/>
        <v>2630</v>
      </c>
      <c r="L19" s="134">
        <f t="shared" si="18"/>
        <v>6633</v>
      </c>
      <c r="M19" s="134">
        <f t="shared" si="18"/>
        <v>594</v>
      </c>
      <c r="N19" s="134">
        <f t="shared" si="18"/>
        <v>1431</v>
      </c>
      <c r="O19" s="134">
        <f t="shared" si="18"/>
        <v>458</v>
      </c>
      <c r="P19" s="134">
        <f t="shared" si="18"/>
        <v>367</v>
      </c>
      <c r="Q19" s="134">
        <f t="shared" si="18"/>
        <v>463</v>
      </c>
      <c r="R19" s="134">
        <f t="shared" si="18"/>
        <v>4161</v>
      </c>
      <c r="S19" s="134">
        <f t="shared" si="18"/>
        <v>4913</v>
      </c>
      <c r="T19" s="134">
        <f t="shared" si="18"/>
        <v>2876</v>
      </c>
      <c r="U19" s="134">
        <f t="shared" si="18"/>
        <v>2609</v>
      </c>
      <c r="V19" s="134">
        <f t="shared" si="18"/>
        <v>5202</v>
      </c>
      <c r="W19" s="134">
        <f t="shared" si="18"/>
        <v>442</v>
      </c>
      <c r="X19" s="134">
        <f t="shared" si="18"/>
        <v>1536</v>
      </c>
      <c r="Y19" s="134">
        <f t="shared" si="18"/>
        <v>68</v>
      </c>
      <c r="Z19" s="134">
        <f t="shared" si="18"/>
        <v>109</v>
      </c>
      <c r="AA19" s="134">
        <f t="shared" si="18"/>
        <v>87</v>
      </c>
      <c r="AB19" s="134">
        <f t="shared" si="18"/>
        <v>90</v>
      </c>
      <c r="AC19" s="134">
        <f t="shared" si="18"/>
        <v>0</v>
      </c>
      <c r="AD19" s="134">
        <f t="shared" si="18"/>
        <v>0</v>
      </c>
      <c r="AE19" s="134">
        <f t="shared" si="18"/>
        <v>0</v>
      </c>
      <c r="AF19" s="134">
        <f t="shared" si="18"/>
        <v>0</v>
      </c>
      <c r="AG19" s="134">
        <f t="shared" si="18"/>
        <v>106</v>
      </c>
      <c r="AH19" s="134">
        <f t="shared" si="18"/>
        <v>107</v>
      </c>
      <c r="AI19" s="134">
        <f t="shared" si="18"/>
        <v>93</v>
      </c>
      <c r="AJ19" s="134">
        <f t="shared" si="18"/>
        <v>120</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5019</v>
      </c>
      <c r="AZ19" s="134">
        <f>SUBTOTAL(9,AZ9:AZ18)</f>
        <v>2983</v>
      </c>
      <c r="BA19" s="134">
        <f>SUBTOTAL(9,BA9:BA18)</f>
        <v>2702</v>
      </c>
      <c r="BB19" s="134">
        <f>SUBTOTAL(9,BB9:BB18)</f>
        <v>5322</v>
      </c>
      <c r="BC19" s="135">
        <f>SUBTOTAL(9,BC9:BC18)</f>
        <v>713</v>
      </c>
      <c r="BD19" s="213">
        <f>IF(ISNUMBER(BA19/AZ19),BA19/AZ19," - ")</f>
        <v>0.90579953067381835</v>
      </c>
      <c r="BE19" s="210">
        <f>IF(ISNUMBER(BB19/BA19),BB19/BA19, " - ")</f>
        <v>1.9696521095484827</v>
      </c>
      <c r="BF19" s="210">
        <f>IF(ISNUMBER(BC19/BA19),BC19/BA19, " - ")</f>
        <v>0.26387860843819394</v>
      </c>
      <c r="BG19" s="135">
        <f>IF(ISNUMBER((AY19+AZ19)/BA19),(AY19+AZ19)/BA19," - ")</f>
        <v>2.9615099925980757</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GRIbhxe5Apc9fMLnRCHBK/S2Qgp0o8Rz94Hb+/nS1G6Fw0EUuo8O/qzwiEFkqUwOgFaeJVlGYmP9gZa9AjFjA==" saltValue="pwiRa7vE5DCzHUpqvbvt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RvvkBMvaEcgOn0ro4EM+07yBWXVx9e521kF2pPKx8ttwp/OftsvC7Q31QhmeYgvjaZcT0tDykjUCAHrRDdRoQ==" saltValue="mriLffZBNlzNJaYbfv2w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38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3</v>
      </c>
      <c r="BE10" s="229" t="str">
        <f>IF(ISNUMBER(Datos!BW10),Datos!BW10," - ")</f>
        <v xml:space="preserve"> - </v>
      </c>
      <c r="BF10" s="228" t="str">
        <f>IF(ISNUMBER(Datos!BX10),Datos!BX10," - ")</f>
        <v xml:space="preserve"> - </v>
      </c>
      <c r="BG10" s="243">
        <f>IF(ISNUMBER(Datos!K10/Datos!J10),Datos!K10/Datos!J10," - ")</f>
        <v>1.3076923076923077</v>
      </c>
      <c r="BH10" s="260">
        <f>IF(ISNUMBER(((Datos!L10/Datos!K10)*11)/factor_trimestre),((Datos!L10/Datos!K10)*11)/factor_trimestre," - ")</f>
        <v>6.7058823529411775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109</v>
      </c>
      <c r="O12" s="334"/>
      <c r="P12" s="334"/>
      <c r="Q12" s="226">
        <f>IF(ISNUMBER(Datos!P12),Datos!P12,0)</f>
        <v>311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4039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316</v>
      </c>
      <c r="BD12" s="229">
        <f>IF(ISNUMBER(Datos!N12),Datos!N12," - ")</f>
        <v>692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0.98068669527897001</v>
      </c>
      <c r="BH12" s="260">
        <f>IF(ISNUMBER(((IF(J_V="SI",Datos!L12/Datos!K12,(Datos!L12+Datos!AB12)/(Datos!K12+Datos!AA12)))*11)/factor_trimestre),((IF(J_V="SI",Datos!L12/Datos!K12,(Datos!L12+Datos!AB12)/(Datos!K12+Datos!AA12)))*11)/factor_trimestre," - ")</f>
        <v>11.400437636761488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-1.8945834345397133E-2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109</v>
      </c>
      <c r="O13" s="900">
        <f t="shared" si="0"/>
        <v>0</v>
      </c>
      <c r="P13" s="900">
        <f t="shared" si="0"/>
        <v>0</v>
      </c>
      <c r="Q13" s="899">
        <f t="shared" si="0"/>
        <v>314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389</v>
      </c>
      <c r="AD13" s="899">
        <f t="shared" si="1"/>
        <v>0</v>
      </c>
      <c r="AE13" s="899">
        <f t="shared" si="1"/>
        <v>0</v>
      </c>
      <c r="AF13" s="899">
        <f t="shared" si="1"/>
        <v>38</v>
      </c>
      <c r="AG13" s="899">
        <f t="shared" si="1"/>
        <v>0</v>
      </c>
      <c r="AH13" s="899">
        <f t="shared" si="1"/>
        <v>90</v>
      </c>
      <c r="AI13" s="899">
        <f t="shared" si="1"/>
        <v>0</v>
      </c>
      <c r="AJ13" s="899">
        <f t="shared" si="1"/>
        <v>0</v>
      </c>
      <c r="AK13" s="899">
        <f t="shared" si="1"/>
        <v>0</v>
      </c>
      <c r="AL13" s="899">
        <f t="shared" si="1"/>
        <v>0</v>
      </c>
      <c r="AM13" s="899">
        <f t="shared" si="1"/>
        <v>4042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329</v>
      </c>
      <c r="BD13" s="899">
        <f t="shared" si="1"/>
        <v>695</v>
      </c>
      <c r="BE13" s="899">
        <f t="shared" si="1"/>
        <v>0</v>
      </c>
      <c r="BF13" s="899">
        <f t="shared" si="1"/>
        <v>0</v>
      </c>
      <c r="BG13" s="899">
        <f>IF(ISNUMBER(Datos!K13/Datos!J13),Datos!K13/Datos!J13," - ")</f>
        <v>0.99923195084485406</v>
      </c>
      <c r="BH13" s="903">
        <f>IF(ISNUMBER(((Datos!L13/Datos!K13)*11)/factor_trimestre),((Datos!L13/Datos!K13)*11)/factor_trimestre," - ")</f>
        <v>11.893927747886242</v>
      </c>
      <c r="BI13" s="899">
        <f>IF(ISNUMBER('Resol  Asuntos'!D13/NºAsuntos!G13),'Resol  Asuntos'!D13/NºAsuntos!G13," - ")</f>
        <v>0.23703170028818443</v>
      </c>
      <c r="BJ13" s="899" t="str">
        <f>IF(ISNUMBER(Datos!CI13/Datos!CJ13),Datos!CI13/Datos!CJ13," - ")</f>
        <v xml:space="preserve"> - </v>
      </c>
      <c r="BK13" s="899">
        <f>SUBTOTAL(9,BK8:BK12)</f>
        <v>0</v>
      </c>
      <c r="BL13" s="899">
        <f>IF(ISNUMBER((I13-AB13+L13)/(F13)),(I13-AB13+L13)/(F13)," - ")</f>
        <v>-0.40476190476190477</v>
      </c>
      <c r="BM13" s="904">
        <f>SUBTOTAL(9,BM9:BM12)</f>
        <v>-1.8945834345397133E-2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1322</v>
      </c>
      <c r="G16" s="598">
        <f>IF(ISNUMBER(IF(D_I="SI",Datos!I16,Datos!I16+Datos!AC16)),IF(D_I="SI",Datos!I16,Datos!I16+Datos!AC16)," - ")</f>
        <v>1285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1238</v>
      </c>
      <c r="AC16" s="226">
        <f>IF(ISNUMBER(Datos!Q16),Datos!Q16," - ")</f>
        <v>74</v>
      </c>
      <c r="AD16" s="334"/>
      <c r="AE16" s="484"/>
      <c r="AF16" s="596">
        <f>IF(ISNUMBER(IF(D_I="SI",Datos!L16,Datos!L16+Datos!AF16)),IF(D_I="SI",Datos!L16,Datos!L16+Datos!AF16)," - ")</f>
        <v>1404</v>
      </c>
      <c r="AG16" s="334"/>
      <c r="AH16" s="334"/>
      <c r="AI16" s="334"/>
      <c r="AJ16" s="334"/>
      <c r="AK16" s="334"/>
      <c r="AL16" s="479"/>
      <c r="AM16" s="335">
        <f>IF(ISNUMBER(Datos!R16),Datos!R16," - ")</f>
        <v>118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214</v>
      </c>
      <c r="BD16" s="229">
        <f>IF(ISNUMBER(Datos!N16),Datos!N16," - ")</f>
        <v>679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0.93787878787878787</v>
      </c>
      <c r="BH16" s="260">
        <f>IF(ISNUMBER(((IF(D_I="SI",Datos!L16/Datos!K16,(Datos!L16+Datos!AF16)/(Datos!K16+Datos!AE16)))*11)/factor_trimestre),((IF(D_I="SI",Datos!L16/Datos!K16,(Datos!L16+Datos!AF16)/(Datos!K16+Datos!AE16)))*11)/factor_trimestre," - ")</f>
        <v>3.4022617124394188</v>
      </c>
      <c r="BI16" s="243">
        <f>IF(ISNUMBER('Resol  Asuntos'!D16/NºAsuntos!G16),'Resol  Asuntos'!D16/NºAsuntos!G16," - ")</f>
        <v>0.172859450726979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0</v>
      </c>
      <c r="AD17" s="334"/>
      <c r="AE17" s="484"/>
      <c r="AF17" s="332">
        <f>IF(ISNUMBER(Datos!L17),Datos!L17,"-")</f>
        <v>71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51</v>
      </c>
      <c r="BD17" s="229">
        <f>IF(ISNUMBER(Datos!N17),Datos!N17," - ")</f>
        <v>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0.79130434782608694</v>
      </c>
      <c r="BH17" s="260">
        <f>IF(ISNUMBER(((IF(D_I="SI",Datos!L17/Datos!K17,(Datos!L17+Datos!AF17)/(Datos!K17+Datos!AE17)))*11)/factor_trimestre),((IF(D_I="SI",Datos!L17/Datos!K17,(Datos!L17+Datos!AF17)/(Datos!K17+Datos!AE17)))*11)/factor_trimestre," - ")</f>
        <v>2.3406593406593408</v>
      </c>
      <c r="BI17" s="243">
        <f>IF(ISNUMBER('Resol  Asuntos'!D17/NºAsuntos!G17),'Resol  Asuntos'!D17/NºAsuntos!G17," - ")</f>
        <v>0.56043956043956045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1322</v>
      </c>
      <c r="G18" s="898">
        <f>SUBTOTAL(9,G15:G17)</f>
        <v>1332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1329</v>
      </c>
      <c r="AC18" s="899">
        <f t="shared" si="4"/>
        <v>74</v>
      </c>
      <c r="AD18" s="899">
        <f t="shared" si="4"/>
        <v>0</v>
      </c>
      <c r="AE18" s="899">
        <f t="shared" si="4"/>
        <v>0</v>
      </c>
      <c r="AF18" s="899">
        <f t="shared" si="4"/>
        <v>1475</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265</v>
      </c>
      <c r="BD18" s="899">
        <f t="shared" si="4"/>
        <v>736</v>
      </c>
      <c r="BE18" s="899">
        <f t="shared" si="4"/>
        <v>0</v>
      </c>
      <c r="BF18" s="899">
        <f t="shared" si="4"/>
        <v>0</v>
      </c>
      <c r="BG18" s="899">
        <f>IF(ISNUMBER(Datos!K18/Datos!J18),Datos!K18/Datos!J18," - ")</f>
        <v>0.9261324041811847</v>
      </c>
      <c r="BH18" s="903">
        <f>IF(ISNUMBER(((Datos!L18/Datos!K18)*11)/factor_trimestre),((Datos!L18/Datos!K18)*11)/factor_trimestre," - ")</f>
        <v>3.3295711060948077</v>
      </c>
      <c r="BI18" s="899">
        <f>SUBTOTAL(9,BI15:BI17)</f>
        <v>0.73329901116653939</v>
      </c>
      <c r="BJ18" s="899">
        <f>SUBTOTAL(9,BJ15:BJ17)</f>
        <v>0</v>
      </c>
      <c r="BK18" s="899">
        <f>SUBTOTAL(9,BK15:BK17)</f>
        <v>0</v>
      </c>
      <c r="BL18" s="899">
        <f>IF(ISNUMBER((I18-AB18+L18)/(F18)),(I18-AB18+L18)/(F18)," - ")</f>
        <v>-1.0052950075642966</v>
      </c>
      <c r="BM18" s="905">
        <f>IF(ISNUMBER((Datos!P18-Datos!Q18)/(Datos!R18-Datos!P18+Datos!Q18)),(Datos!P18-Datos!Q18)/(Datos!R18-Datos!P18+Datos!Q18)," - ")</f>
        <v>-0.15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1364</v>
      </c>
      <c r="G19" s="820">
        <f t="shared" si="6"/>
        <v>1374</v>
      </c>
      <c r="H19" s="822">
        <f t="shared" si="6"/>
        <v>0</v>
      </c>
      <c r="I19" s="820">
        <f t="shared" si="6"/>
        <v>0</v>
      </c>
      <c r="J19" s="822">
        <f t="shared" si="6"/>
        <v>0</v>
      </c>
      <c r="K19" s="822">
        <f t="shared" si="6"/>
        <v>0</v>
      </c>
      <c r="L19" s="881">
        <f t="shared" si="6"/>
        <v>0</v>
      </c>
      <c r="M19" s="881">
        <f t="shared" si="6"/>
        <v>0</v>
      </c>
      <c r="N19" s="881">
        <f t="shared" si="6"/>
        <v>109</v>
      </c>
      <c r="O19" s="881">
        <f t="shared" si="6"/>
        <v>0</v>
      </c>
      <c r="P19" s="881">
        <f t="shared" si="6"/>
        <v>0</v>
      </c>
      <c r="Q19" s="822">
        <f t="shared" si="6"/>
        <v>367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1346</v>
      </c>
      <c r="AC19" s="821">
        <f t="shared" si="7"/>
        <v>463</v>
      </c>
      <c r="AD19" s="821">
        <f t="shared" si="7"/>
        <v>0</v>
      </c>
      <c r="AE19" s="821">
        <f t="shared" si="7"/>
        <v>0</v>
      </c>
      <c r="AF19" s="828">
        <f t="shared" si="7"/>
        <v>1513</v>
      </c>
      <c r="AG19" s="828">
        <f t="shared" si="7"/>
        <v>0</v>
      </c>
      <c r="AH19" s="828">
        <f t="shared" si="7"/>
        <v>90</v>
      </c>
      <c r="AI19" s="828">
        <f t="shared" si="7"/>
        <v>0</v>
      </c>
      <c r="AJ19" s="821">
        <f t="shared" si="7"/>
        <v>0</v>
      </c>
      <c r="AK19" s="828">
        <f t="shared" si="7"/>
        <v>0</v>
      </c>
      <c r="AL19" s="828">
        <f t="shared" si="7"/>
        <v>0</v>
      </c>
      <c r="AM19" s="828">
        <f t="shared" si="7"/>
        <v>4161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594</v>
      </c>
      <c r="BD19" s="820">
        <f t="shared" si="7"/>
        <v>1431</v>
      </c>
      <c r="BE19" s="820">
        <f t="shared" si="7"/>
        <v>0</v>
      </c>
      <c r="BF19" s="830">
        <f t="shared" si="7"/>
        <v>0</v>
      </c>
      <c r="BG19" s="915">
        <f>IF(ISNUMBER(Datos!K19/Datos!J19),Datos!K19/Datos!J19," - ")</f>
        <v>0.96090610157106315</v>
      </c>
      <c r="BH19" s="915">
        <f>IF(ISNUMBER(((Datos!L19/Datos!K19)*11)/factor_trimestre),((Datos!L19/Datos!K19)*11)/factor_trimestre," - ")</f>
        <v>7.5661596958174906</v>
      </c>
      <c r="BI19" s="813">
        <f>IF(ISNUMBER(Datos!J19/Datos!I19),Datos!J19/Datos!I19," - ")</f>
        <v>0.42179072276159657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-0.98680351906158359</v>
      </c>
      <c r="BM19" s="889">
        <f>IF(ISNUMBER((Datos!P19-Datos!Q19+R19)/(Datos!R19-Datos!P19+Datos!Q19-R19)),(Datos!P19-Datos!Q19+R19)/(Datos!R19-Datos!P19+Datos!Q19-R19)," - ")</f>
        <v>-2.255109231853418E-2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739.00834456272105</v>
      </c>
      <c r="G21" s="552">
        <f>IF(ISNUMBER(STDEV(G8:G18)),STDEV(G8:G18),"-")</f>
        <v>692.98001414182215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681.61044592934456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135.39867059908676</v>
      </c>
      <c r="BD21" s="551"/>
      <c r="BE21" s="551">
        <f>IF(ISNUMBER(STDEV(BE8:BE18)),STDEV(BE8:BE18),"-")</f>
        <v>0</v>
      </c>
      <c r="BF21" s="556">
        <f>IF(ISNUMBER(STDEV(BF8:BF18)),STDEV(BF8:BF18),"-")</f>
        <v>0</v>
      </c>
      <c r="BG21" s="775">
        <f>IF(ISNUMBER(STDEV(BG8:BG18)),STDEV(BG8:BG18),"-")</f>
        <v>0.17168261081154229</v>
      </c>
      <c r="BH21" s="776">
        <f>IF(ISNUMBER(STDEV(BH8:BH18)),STDEV(BH8:BH18),"-")</f>
        <v>4.2449491838104771</v>
      </c>
      <c r="BI21" s="249">
        <f>IF(ISNUMBER(STDEV(BI8:BI18)),STDEV(BI8:BI18),"-")</f>
        <v>0.2660174175882738</v>
      </c>
      <c r="BJ21" s="230" t="str">
        <f>IF(ISNUMBER(BL21/BM21),BL21/BM21," - ")</f>
        <v xml:space="preserve"> - </v>
      </c>
      <c r="BK21" s="575"/>
      <c r="BL21" s="559">
        <f>IF(ISNUMBER(STDEV(BL8:BL18)),STDEV(BL8:BL18),"-")</f>
        <v>0.42464102931856962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lCJi1/eksAzCFnYepl9UYxcYppu3zqzLf3q128xM5pgEhKoLOf6atBN6WI2RNgMdoyujAjqJMyQegeCKsnS0g==" saltValue="VtGyty8IjvbWjREh8EoS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EL EJIDO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38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6.7058823529411775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389</v>
      </c>
      <c r="AA12" s="332" t="str">
        <f>IF(ISNUMBER(IF(J_V="SI",Datos!L12,Datos!L12+Datos!AB12)-IF(Monitorios="SI",Datos!CD12,0)),
                          IF(J_V="SI",Datos!L12,Datos!L12+Datos!AB12)-IF(Monitorios="SI",Datos!CD12,0),
                          " - ")</f>
        <v xml:space="preserve"> - </v>
      </c>
      <c r="AB12" s="334"/>
      <c r="AC12" s="334"/>
      <c r="AD12" s="484"/>
      <c r="AE12" s="484">
        <f>IF(ISNUMBER(Datos!R12),Datos!R12," - ")</f>
        <v>4039</v>
      </c>
      <c r="AF12" s="229" t="str">
        <f>IF(ISNUMBER(Datos!BV12),Datos!BV12," - ")</f>
        <v xml:space="preserve"> - </v>
      </c>
      <c r="AG12" s="225" t="str">
        <f>IF(ISNUMBER(Datos!DV12),Datos!DV12," - ")</f>
        <v xml:space="preserve"> - </v>
      </c>
      <c r="AH12" s="298"/>
      <c r="AI12" s="227"/>
      <c r="AJ12" s="225">
        <f>IF(ISNUMBER(Datos!M12),Datos!M12," - ")</f>
        <v>316</v>
      </c>
      <c r="AK12" s="229">
        <f>IF(ISNUMBER(Datos!N12),Datos!N12," - ")</f>
        <v>692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11.400437636761488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-1.8945834345397133E-2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314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389</v>
      </c>
      <c r="AA13" s="900">
        <f t="shared" si="2"/>
        <v>38</v>
      </c>
      <c r="AB13" s="900">
        <f t="shared" si="2"/>
        <v>0</v>
      </c>
      <c r="AC13" s="900">
        <f t="shared" si="2"/>
        <v>0</v>
      </c>
      <c r="AD13" s="900">
        <f t="shared" si="2"/>
        <v>0</v>
      </c>
      <c r="AE13" s="900">
        <f t="shared" si="2"/>
        <v>4042</v>
      </c>
      <c r="AF13" s="908">
        <f t="shared" si="2"/>
        <v>0</v>
      </c>
      <c r="AG13" s="908">
        <f t="shared" si="2"/>
        <v>0</v>
      </c>
      <c r="AH13" s="908">
        <f t="shared" si="2"/>
        <v>0</v>
      </c>
      <c r="AI13" s="908">
        <f t="shared" si="2"/>
        <v>0</v>
      </c>
      <c r="AJ13" s="908">
        <f t="shared" si="2"/>
        <v>329</v>
      </c>
      <c r="AK13" s="908">
        <f t="shared" si="2"/>
        <v>695</v>
      </c>
      <c r="AL13" s="908">
        <f t="shared" si="2"/>
        <v>0</v>
      </c>
      <c r="AM13" s="908">
        <f t="shared" si="2"/>
        <v>0</v>
      </c>
      <c r="AN13" s="908">
        <f t="shared" si="2"/>
        <v>0</v>
      </c>
      <c r="AO13" s="904">
        <f>IF(ISNUMBER(((NºAsuntos!I13/NºAsuntos!G13)*11)/factor_trimestre),((NºAsuntos!I13/NºAsuntos!G13)*11)/factor_trimestre," - ")</f>
        <v>11.342939481268013</v>
      </c>
      <c r="AP13" s="910" t="str">
        <f>IF(ISNUMBER(Datos!CI13/Datos!CJ13),Datos!CI13/Datos!CJ13," - ")</f>
        <v xml:space="preserve"> - </v>
      </c>
      <c r="AQ13" s="928">
        <f t="shared" ref="AQ13:AV13" si="3">SUBTOTAL(9,AQ9:AQ12)</f>
        <v>0</v>
      </c>
      <c r="AR13" s="928">
        <f t="shared" si="3"/>
        <v>-1.8945834345397133E-2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1322</v>
      </c>
      <c r="G16" s="225">
        <f>IF(ISNUMBER(IF(D_I="SI",Datos!I16,Datos!I16+Datos!AC16)),IF(D_I="SI",Datos!I16,Datos!I16+Datos!AC16)," - ")</f>
        <v>1285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1238</v>
      </c>
      <c r="Z16" s="619">
        <f>IF(ISNUMBER(Datos!Q16),Datos!Q16," - ")</f>
        <v>74</v>
      </c>
      <c r="AA16" s="332">
        <f>IF(ISNUMBER(IF(D_I="SI",Datos!L16,Datos!L16+Datos!AF16)),IF(D_I="SI",Datos!L16,Datos!L16+Datos!AF16)," - ")</f>
        <v>1404</v>
      </c>
      <c r="AB16" s="334"/>
      <c r="AC16" s="334"/>
      <c r="AD16" s="484"/>
      <c r="AE16" s="484">
        <f>IF(ISNUMBER(Datos!R16),Datos!R16," - ")</f>
        <v>118</v>
      </c>
      <c r="AF16" s="229" t="str">
        <f>IF(ISNUMBER(Datos!BV16),Datos!BV16," - ")</f>
        <v xml:space="preserve"> - </v>
      </c>
      <c r="AG16" s="225"/>
      <c r="AH16" s="298"/>
      <c r="AI16" s="227"/>
      <c r="AJ16" s="225">
        <f>IF(ISNUMBER(Datos!M16),Datos!M16," - ")</f>
        <v>214</v>
      </c>
      <c r="AK16" s="229">
        <f>IF(ISNUMBER(Datos!N16),Datos!N16," - ")</f>
        <v>679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3.4022617124394188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0</v>
      </c>
      <c r="AA17" s="332">
        <f>IF(ISNUMBER(Datos!L17),Datos!L17,"-")</f>
        <v>71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51</v>
      </c>
      <c r="AK17" s="229">
        <f>IF(ISNUMBER(Datos!N17),Datos!N17," - ")</f>
        <v>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2.3406593406593408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1322</v>
      </c>
      <c r="G18" s="898">
        <f>SUBTOTAL(9,G15:G17)</f>
        <v>1332</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1329</v>
      </c>
      <c r="Z18" s="932">
        <f t="shared" si="5"/>
        <v>74</v>
      </c>
      <c r="AA18" s="932">
        <f t="shared" si="5"/>
        <v>1475</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265</v>
      </c>
      <c r="AK18" s="932">
        <f t="shared" si="5"/>
        <v>736</v>
      </c>
      <c r="AL18" s="932">
        <f t="shared" si="5"/>
        <v>0</v>
      </c>
      <c r="AM18" s="932">
        <f t="shared" si="5"/>
        <v>0</v>
      </c>
      <c r="AN18" s="932">
        <f t="shared" si="5"/>
        <v>0</v>
      </c>
      <c r="AO18" s="934">
        <f>IF(ISNUMBER(((NºAsuntos!I18/NºAsuntos!G18)*11)/factor_trimestre),((NºAsuntos!I18/NºAsuntos!G18)*11)/factor_trimestre," - ")</f>
        <v>3.3295711060948077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1364</v>
      </c>
      <c r="G19" s="820">
        <f t="shared" si="7"/>
        <v>1374</v>
      </c>
      <c r="H19" s="821">
        <f t="shared" si="7"/>
        <v>0</v>
      </c>
      <c r="I19" s="820">
        <f t="shared" si="7"/>
        <v>0</v>
      </c>
      <c r="J19" s="822">
        <f t="shared" si="7"/>
        <v>0</v>
      </c>
      <c r="K19" s="820">
        <f t="shared" si="7"/>
        <v>0</v>
      </c>
      <c r="L19" s="823">
        <f t="shared" si="7"/>
        <v>0</v>
      </c>
      <c r="M19" s="820">
        <f t="shared" si="7"/>
        <v>0</v>
      </c>
      <c r="N19" s="821">
        <f t="shared" si="7"/>
        <v>367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1346</v>
      </c>
      <c r="Z19" s="827">
        <f t="shared" si="8"/>
        <v>463</v>
      </c>
      <c r="AA19" s="828">
        <f t="shared" si="8"/>
        <v>1513</v>
      </c>
      <c r="AB19" s="828">
        <f t="shared" si="8"/>
        <v>0</v>
      </c>
      <c r="AC19" s="828">
        <f t="shared" si="8"/>
        <v>0</v>
      </c>
      <c r="AD19" s="829">
        <f t="shared" si="8"/>
        <v>0</v>
      </c>
      <c r="AE19" s="829">
        <f t="shared" si="8"/>
        <v>4161</v>
      </c>
      <c r="AF19" s="830">
        <f t="shared" si="8"/>
        <v>0</v>
      </c>
      <c r="AG19" s="831">
        <f t="shared" si="8"/>
        <v>0</v>
      </c>
      <c r="AH19" s="832">
        <f t="shared" si="8"/>
        <v>0</v>
      </c>
      <c r="AI19" s="830">
        <f t="shared" si="8"/>
        <v>0</v>
      </c>
      <c r="AJ19" s="820">
        <f t="shared" si="8"/>
        <v>594</v>
      </c>
      <c r="AK19" s="820">
        <f t="shared" si="8"/>
        <v>1431</v>
      </c>
      <c r="AL19" s="820">
        <f t="shared" si="8"/>
        <v>0</v>
      </c>
      <c r="AM19" s="833">
        <f t="shared" si="8"/>
        <v>0</v>
      </c>
      <c r="AN19" s="823">
        <f>IF(ISNUMBER(Datos!K19/Datos!J19),Datos!K19/Datos!J19," - ")</f>
        <v>0.96090610157106315</v>
      </c>
      <c r="AO19" s="823">
        <f>IF(ISNUMBER(FIND("06",Criterios!A8,1)),(IF(ISNUMBER(((Datos!R19/Datos!Q19)*11)/factor_trimestre),((Datos!R19/Datos!Q19)*11)/factor_trimestre," - ")),(IF(ISNUMBER(((Datos!L19/Datos!K19)*11)/factor_trimestre),((Datos!L19/Datos!K19)*11)/factor_trimestre," - ")))</f>
        <v>7.5661596958174906</v>
      </c>
      <c r="AP19" s="834" t="str">
        <f>IF(ISNUMBER(Datos!CI19/Datos!CJ19),Datos!CI19/Datos!CJ19," - ")</f>
        <v xml:space="preserve"> - </v>
      </c>
      <c r="AQ19" s="834">
        <f>IF(OR(ISNUMBER(FIND("01",Criterios!A8,1)),ISNUMBER(FIND("02",Criterios!A8,1)),ISNUMBER(FIND("03",Criterios!A8,1)),ISNUMBER(FIND("04",Criterios!A8,1))),(J19-Y19+K19)/(F19-K19),(I19-Y19+K19)/(F19-K19))</f>
        <v>-0.98680351906158359</v>
      </c>
      <c r="AR19" s="834">
        <f>IF(ISNUMBER((Datos!P19-Datos!Q19+O19)/(Datos!R19-Datos!P19+Datos!Q19-O19)),(Datos!P19-Datos!Q19+O19)/(Datos!R19-Datos!P19+Datos!Q19-O19)," - ")</f>
        <v>-2.255109231853418E-2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739.00834456272105</v>
      </c>
      <c r="G21" s="552">
        <f>IF(ISNUMBER(STDEV(G8:G18)),STDEV(G8:G18),"-")</f>
        <v>692.98001414182215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135.39867059908676</v>
      </c>
      <c r="AK21" s="252"/>
      <c r="AL21" s="252">
        <f>IF(ISNUMBER(STDEV(AL8:AL18)),STDEV(AL8:AL18),"-")</f>
        <v>0</v>
      </c>
      <c r="AM21" s="254">
        <f>IF(ISNUMBER(STDEV(AM8:AM18)),STDEV(AM8:AM18),"-")</f>
        <v>0</v>
      </c>
      <c r="AN21" s="539">
        <f>IF(ISNUMBER(STDEV(AN8:AN18)),STDEV(AN8:AN18),"-")</f>
        <v>0</v>
      </c>
      <c r="AO21" s="540">
        <f>IF(ISNUMBER(STDEV(AO8:AO18)),STDEV(AO8:AO18),"-")</f>
        <v>4.1090226510374892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CNLG3eQgesE3w2YTPzs9MMwWfy4dPTWlHF/CrcKO0DfHIW8oHHLn8HCsYfGGfB/7mzlzGtp3G1hf0ITJktxYA==" saltValue="ZFyQPsYkyCPj7ggjU4Cf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xW4jpnhCCuhYj5SWgKupXhqpuNfdAg2KrFtUGa7LeaDzVHb+jF4g3wooyhzCaZqxVmnfEpdg18ivtQPUXl94g==" saltValue="oDLlw+SoSpeboLaKCzAf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Xh3+z9Hcr3/bovTwianHQ96FjWkvShkPOvnEceYzIZRrKzLhJfOGWImkSzcdwCMss3wR8WvLulf8NjIV0VjA==" saltValue="yDUiY6okZOvuxAiXKXmBO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0.23703170028818443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0.16760672262995255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wEIoXiRvVzp2UQgpA2mdNCGkJZqqiEPULsBJrNF2scc+w9FAUobkBHS9PYvZlbicG1cFosoKjdmdiZrPJGzrw==" saltValue="omk1+Fdd3tlNBDdEv9k9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nr8pnyNJ/6UTvW+Ouvdn9DBmT2V4UlH4tvG4W35bLaA/4McTc38fQ/tP9/49SRV4aFi7pDMOjjzGQMzsA+KdQ==" saltValue="mb2ZQN2A8S53fsmgImqs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EL EJIDO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13</v>
      </c>
      <c r="F10" s="404">
        <f>IF(ISNUMBER(E10/B10),E10/B10," - ")</f>
        <v>13</v>
      </c>
      <c r="G10" s="403">
        <f>IF(ISNUMBER(Datos!K10),Datos!K10," - ")</f>
        <v>17</v>
      </c>
      <c r="H10" s="404">
        <f>IF(ISNUMBER(G10/B10),G10/B10," - ")</f>
        <v>17</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5183</v>
      </c>
      <c r="D12" s="404">
        <f>IF(ISNUMBER(C12/Datos!BH12),C12/Datos!BH12," - ")</f>
        <v>863.83333333333337</v>
      </c>
      <c r="E12" s="403">
        <f>IF(ISNUMBER(IF(J_V="SI",Datos!J12,Datos!J12+Datos!Z12)),IF(J_V="SI",Datos!J12,Datos!J12+Datos!Z12)," - ")</f>
        <v>1398</v>
      </c>
      <c r="F12" s="404">
        <f>IF(ISNUMBER(E12/B12),E12/B12," - ")</f>
        <v>233</v>
      </c>
      <c r="G12" s="403">
        <f>IF(ISNUMBER(IF(J_V="SI",Datos!K12,Datos!K12+Datos!AA12)),IF(J_V="SI",Datos!K12,Datos!K12+Datos!AA12)," - ")</f>
        <v>1371</v>
      </c>
      <c r="H12" s="404">
        <f>IF(ISNUMBER(G12/B12),G12/B12," - ")</f>
        <v>228.5</v>
      </c>
      <c r="I12" s="403">
        <f>IF(ISNUMBER(IF(J_V="SI",Datos!L12,Datos!L12+Datos!AB12)),IF(J_V="SI",Datos!L12,Datos!L12+Datos!AB12)," - ")</f>
        <v>5210</v>
      </c>
      <c r="J12" s="404">
        <f>IF(ISNUMBER(I12/B12),I12/B12," - ")</f>
        <v>868.33333333333337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5225</v>
      </c>
      <c r="D13" s="850" t="str">
        <f>IF(ISNUMBER(C13/Datos!BI13),C13/Datos!BI13," - ")</f>
        <v xml:space="preserve"> - </v>
      </c>
      <c r="E13" s="849">
        <f>SUBTOTAL(9,E8:E12)</f>
        <v>1411</v>
      </c>
      <c r="F13" s="850">
        <f>IF(ISNUMBER(E13/B13),E13/B13," - ")</f>
        <v>235.16666666666666</v>
      </c>
      <c r="G13" s="849">
        <f>SUBTOTAL(9,G8:G12)</f>
        <v>1388</v>
      </c>
      <c r="H13" s="850">
        <f>IF(ISNUMBER(G13/B13),G13/B13," - ")</f>
        <v>231.33333333333334</v>
      </c>
      <c r="I13" s="849">
        <f>SUBTOTAL(9,I8:I12)</f>
        <v>5248</v>
      </c>
      <c r="J13" s="850">
        <f>IF(ISNUMBER(I13/B13),I13/B13," - ")</f>
        <v>874.66666666666663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1285</v>
      </c>
      <c r="D16" s="404">
        <f>IF(ISNUMBER(C16/Datos!BH16),C16/Datos!BH16," - ")</f>
        <v>214.16666666666666</v>
      </c>
      <c r="E16" s="403">
        <f>IF(ISNUMBER(IF(D_I="SI",Datos!J16,Datos!J16+Datos!AD16)),IF(D_I="SI",Datos!J16,Datos!J16+Datos!AD16)," - ")</f>
        <v>1320</v>
      </c>
      <c r="F16" s="404">
        <f>IF(ISNUMBER(E16/B16),E16/B16," - ")</f>
        <v>220</v>
      </c>
      <c r="G16" s="403">
        <f>IF(ISNUMBER(IF(D_I="SI",Datos!K16,Datos!K16+Datos!AE16)),IF(D_I="SI",Datos!K16,Datos!K16+Datos!AE16)," - ")</f>
        <v>1238</v>
      </c>
      <c r="H16" s="404">
        <f>IF(ISNUMBER(G16/B16),G16/B16," - ")</f>
        <v>206.33333333333334</v>
      </c>
      <c r="I16" s="403">
        <f>IF(ISNUMBER(IF(D_I="SI",Datos!L16,Datos!L16+Datos!AF16)),IF(D_I="SI",Datos!L16,Datos!L16+Datos!AF16)," - ")</f>
        <v>1404</v>
      </c>
      <c r="J16" s="404">
        <f>IF(ISNUMBER(I16/B16),I16/B16," - ")</f>
        <v>234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115</v>
      </c>
      <c r="F17" s="404">
        <f>IF(ISNUMBER(E17/B17),E17/B17," - ")</f>
        <v>115</v>
      </c>
      <c r="G17" s="403">
        <f>IF(ISNUMBER(IF(D_I="SI",Datos!K17,Datos!K17+Datos!AE17)),IF(D_I="SI",Datos!K17,Datos!K17+Datos!AE17)," - ")</f>
        <v>91</v>
      </c>
      <c r="H17" s="404">
        <f>IF(ISNUMBER(G17/B17),G17/B17," - ")</f>
        <v>91</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1332</v>
      </c>
      <c r="D18" s="850" t="str">
        <f>IF(ISNUMBER(C18/Datos!BI18),C18/Datos!BI18," - ")</f>
        <v xml:space="preserve"> - </v>
      </c>
      <c r="E18" s="849">
        <f>SUBTOTAL(9,E14:E17)</f>
        <v>1435</v>
      </c>
      <c r="F18" s="850">
        <f>IF(ISNUMBER(E18/B18),E18/B18," - ")</f>
        <v>239.16666666666666</v>
      </c>
      <c r="G18" s="849">
        <f>SUBTOTAL(9,G14:G17)</f>
        <v>1329</v>
      </c>
      <c r="H18" s="850">
        <f>IF(ISNUMBER(G18/B18),G18/B18," - ")</f>
        <v>221.5</v>
      </c>
      <c r="I18" s="849">
        <f>SUBTOTAL(9,I14:I17)</f>
        <v>1475</v>
      </c>
      <c r="J18" s="850">
        <f>IF(ISNUMBER(I18/B18),I18/B18," - ")</f>
        <v>245.83333333333334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6557</v>
      </c>
      <c r="D19" s="795" t="str">
        <f>IF(ISNUMBER(C19/Datos!BI19),C19/Datos!BI19," - ")</f>
        <v xml:space="preserve"> - </v>
      </c>
      <c r="E19" s="794">
        <f>SUBTOTAL(9,E9:E18)</f>
        <v>2846</v>
      </c>
      <c r="F19" s="795">
        <f>IF(ISNUMBER(E19/B19),E19/B19," - ")</f>
        <v>474.33333333333331</v>
      </c>
      <c r="G19" s="794">
        <f>SUBTOTAL(9,G9:G18)</f>
        <v>2717</v>
      </c>
      <c r="H19" s="795">
        <f>IF(ISNUMBER(G19/B19),G19/B19," - ")</f>
        <v>452.83333333333331</v>
      </c>
      <c r="I19" s="794">
        <f>SUBTOTAL(9,I9:I18)</f>
        <v>6723</v>
      </c>
      <c r="J19" s="795">
        <f>IF(ISNUMBER(I19/B19),I19/B19," - ")</f>
        <v>1120.5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1z7j56VKaXoJUx72eK2CkE8PwTsjIrAygm62voPb8Zay6cPXqkuG7uP1oPl32qVGwY/yQbqsBw4egXlpmTWjw==" saltValue="pPr0azDkts4pFk9cEsno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EL EJIDO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6.7058823529411775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316</v>
      </c>
      <c r="AM12" s="690">
        <f>IF(ISNUMBER(Datos!N12+DatosP!N16),Datos!N12+DatosP!N16," - ")</f>
        <v>692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11.400437636761488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-1.8945834345397133E-2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314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389</v>
      </c>
      <c r="AE13" s="939">
        <f t="shared" si="1"/>
        <v>0</v>
      </c>
      <c r="AF13" s="939">
        <f t="shared" si="1"/>
        <v>38</v>
      </c>
      <c r="AG13" s="939">
        <f t="shared" si="1"/>
        <v>0</v>
      </c>
      <c r="AH13" s="939">
        <f t="shared" si="1"/>
        <v>4039</v>
      </c>
      <c r="AI13" s="939">
        <f t="shared" si="1"/>
        <v>0</v>
      </c>
      <c r="AJ13" s="939">
        <f t="shared" si="1"/>
        <v>0</v>
      </c>
      <c r="AK13" s="939">
        <f t="shared" si="1"/>
        <v>0</v>
      </c>
      <c r="AL13" s="939">
        <f t="shared" si="1"/>
        <v>329</v>
      </c>
      <c r="AM13" s="939">
        <f t="shared" si="1"/>
        <v>695</v>
      </c>
      <c r="AN13" s="939">
        <f t="shared" si="1"/>
        <v>0</v>
      </c>
      <c r="AO13" s="939">
        <f t="shared" si="1"/>
        <v>0</v>
      </c>
      <c r="AP13" s="944">
        <f>IF(ISNUMBER(((Datos!L13/Datos!K13)*11)/factor_trimestre),((Datos!L13/Datos!K13)*11)/factor_trimestre," - ")</f>
        <v>11.893927747886242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-0.40476190476190477</v>
      </c>
      <c r="AU13" s="939" t="str">
        <f>IF(ISNUMBER((DatosP!#REF!-DatosP!#REF!+DatosP!#REF!)/(DatosP!#REF!+DatosP!#REF!-DatosP!#REF!-DatosP!#REF!)),(DatosP!#REF!-DatosP!#REF!+DatosP!#REF!)/(DatosP!#REF!+DatosP!#REF!-DatosP!#REF!-DatosP!#REF!)," - ")</f>
        <v xml:space="preserve"> - </v>
      </c>
      <c r="AV13" s="945">
        <f>SUBTOTAL(9,AV9:AV12)</f>
        <v>-1.8945834345397133E-2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3.3295711060948077</v>
      </c>
      <c r="AQ18" s="944">
        <f>IF(ISNUMBER(((Datos!M18/Datos!L18)*11)/factor_trimestre),((Datos!M18/Datos!L18)*11)/factor_trimestre," - ")</f>
        <v>0.53898305084745768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v>
      </c>
      <c r="AW18" s="946">
        <f>IF(ISNUMBER((Datos!Q18-Datos!R18)/(Datos!S18-Datos!Q18+Datos!R18)),(Datos!Q18-Datos!R18)/(Datos!S18-Datos!Q18+Datos!R18)," - ")</f>
        <v>-3.9473684210526314E-2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314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389</v>
      </c>
      <c r="AE19" s="957">
        <f t="shared" si="5"/>
        <v>0</v>
      </c>
      <c r="AF19" s="958">
        <f t="shared" si="5"/>
        <v>38</v>
      </c>
      <c r="AG19" s="958">
        <f t="shared" si="5"/>
        <v>0</v>
      </c>
      <c r="AH19" s="958">
        <f t="shared" si="5"/>
        <v>4039</v>
      </c>
      <c r="AI19" s="958">
        <f t="shared" si="5"/>
        <v>0</v>
      </c>
      <c r="AJ19" s="959">
        <f t="shared" si="5"/>
        <v>0</v>
      </c>
      <c r="AK19" s="959">
        <f t="shared" si="5"/>
        <v>0</v>
      </c>
      <c r="AL19" s="951">
        <f t="shared" si="5"/>
        <v>329</v>
      </c>
      <c r="AM19" s="951">
        <f t="shared" si="5"/>
        <v>695</v>
      </c>
      <c r="AN19" s="951">
        <f t="shared" si="5"/>
        <v>0</v>
      </c>
      <c r="AO19" s="951">
        <f t="shared" si="5"/>
        <v>0</v>
      </c>
      <c r="AP19" s="951">
        <f>IF(ISNUMBER(((Datos!L19/Datos!K19)*11)/factor_trimestre),((Datos!L19/Datos!K19)*11)/factor_trimestre," - ")</f>
        <v>7.5661596958174906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-0.40476190476190477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-2.255109231853418E-2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182.59700618210218</v>
      </c>
      <c r="AM21" s="736"/>
      <c r="AN21" s="736">
        <f>IF(ISNUMBER(STDEV(AN8:AN18)),STDEV(AN8:AN18),"-")</f>
        <v>0</v>
      </c>
      <c r="AO21" s="742">
        <f>IF(ISNUMBER(STDEV(AO8:AO18)),STDEV(AO8:AO18),"-")</f>
        <v>0</v>
      </c>
      <c r="AP21" s="779">
        <f>IF(ISNUMBER(STDEV(AP8:AP18)),STDEV(AP8:AP18),"-")</f>
        <v>4.0731311225911462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ZkWtWyrS7ayehYQ5xWMRx/u3FhNkXQfguuyuXiEi1p5oR6G0ae/qqC6lX8P3wvcbUFXZLixNbfXZaGadqxpEJQ==" saltValue="uwPxPpTUdtIDkMWB3obD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EL EJIDO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NKEdWlRQOkz91s9nY5NcUn/4/thoTOXNmHRgT82gwhJbS7NjHJ1TrtyUl8FwlJpWCzSPqDRezwiqkD75Eh+Q==" saltValue="8kdE4gKjfcMv/Z7uV9Bn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EL EJIDO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316</v>
      </c>
      <c r="E12" s="404">
        <f t="shared" si="0"/>
        <v>52.666666666666664</v>
      </c>
      <c r="F12" s="403">
        <f>IF(ISNUMBER(Datos!N12),Datos!N12," - ")</f>
        <v>692</v>
      </c>
      <c r="G12" s="404">
        <f t="shared" si="1"/>
        <v>115.33333333333333</v>
      </c>
      <c r="H12" s="403">
        <f>IF(ISNUMBER(Datos!O12),Datos!O12," - ")</f>
        <v>458</v>
      </c>
      <c r="I12" s="404">
        <f t="shared" si="2"/>
        <v>76.333333333333329</v>
      </c>
      <c r="BZ12" s="1186">
        <f>Datos!EZ12</f>
        <v>0</v>
      </c>
    </row>
    <row r="13" spans="1:78" ht="14.25" thickTop="1" thickBot="1">
      <c r="A13" s="848" t="str">
        <f>Datos!A13</f>
        <v>TOTAL</v>
      </c>
      <c r="B13" s="849">
        <f>Datos!AP13</f>
        <v>6</v>
      </c>
      <c r="C13" s="851">
        <f>Datos!AR13</f>
        <v>6</v>
      </c>
      <c r="D13" s="849">
        <f>SUBTOTAL(9,D9:D12)</f>
        <v>329</v>
      </c>
      <c r="E13" s="850">
        <f t="shared" si="0"/>
        <v>54.833333333333336</v>
      </c>
      <c r="F13" s="849">
        <f>SUBTOTAL(9,F9:F12)</f>
        <v>695</v>
      </c>
      <c r="G13" s="850">
        <f t="shared" si="1"/>
        <v>115.83333333333333</v>
      </c>
      <c r="H13" s="849">
        <f>SUBTOTAL(9,H9:H12)</f>
        <v>458</v>
      </c>
      <c r="I13" s="850">
        <f>IF(ISNUMBER(H13/B13),H13/B13," - ")</f>
        <v>76.333333333333329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214</v>
      </c>
      <c r="E16" s="404">
        <f t="shared" si="3"/>
        <v>35.666666666666664</v>
      </c>
      <c r="F16" s="403">
        <f>IF(ISNUMBER(Datos!N16),Datos!N16," - ")</f>
        <v>679</v>
      </c>
      <c r="G16" s="404">
        <f t="shared" si="4"/>
        <v>113.16666666666667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51</v>
      </c>
      <c r="E17" s="404">
        <f>IF(ISNUMBER(D17/B17),D17/B17," - ")</f>
        <v>51</v>
      </c>
      <c r="F17" s="403">
        <f>IF(ISNUMBER(Datos!N17),Datos!N17," - ")</f>
        <v>57</v>
      </c>
      <c r="G17" s="404">
        <f>IF(ISNUMBER(F17/B17),F17/B17," - ")</f>
        <v>57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265</v>
      </c>
      <c r="E18" s="850">
        <f t="shared" si="3"/>
        <v>44.166666666666664</v>
      </c>
      <c r="F18" s="849">
        <f>SUBTOTAL(9,F15:F17)</f>
        <v>736</v>
      </c>
      <c r="G18" s="850">
        <f t="shared" si="4"/>
        <v>122.66666666666667</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594</v>
      </c>
      <c r="E19" s="795">
        <f>IF(ISNUMBER(D19/B19),D19/B19," - ")</f>
        <v>99</v>
      </c>
      <c r="F19" s="794">
        <f>SUBTOTAL(9,F8:F18)</f>
        <v>1431</v>
      </c>
      <c r="G19" s="795">
        <f>IF(ISNUMBER(F19/B19),F19/B19," - ")</f>
        <v>238.5</v>
      </c>
      <c r="H19" s="794">
        <f>SUBTOTAL(9,H8:H18)</f>
        <v>458</v>
      </c>
      <c r="I19" s="795">
        <f>IF(ISNUMBER(H19/B19),H19/B19," - ")</f>
        <v>76.333333333333329</v>
      </c>
    </row>
    <row r="22" spans="1:78">
      <c r="A22" s="391" t="str">
        <f>Criterios!A4</f>
        <v>Fecha Informe: 27 feb. 2025</v>
      </c>
    </row>
    <row r="27" spans="1:78">
      <c r="A27" s="414"/>
    </row>
  </sheetData>
  <sheetProtection algorithmName="SHA-512" hashValue="j5lHl9PVD2/AFnkxTg6XOPxSe8n47WpaI3ARBPzh73F4R/TgjWan+5eRiqqNQCY4zNocdcqoyZr8gSbxj+O0Jw==" saltValue="n2qXEiFy4UtYly/Xy165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EL EJIDO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311</v>
      </c>
      <c r="C12" s="434">
        <f>IF(ISNUMBER(Datos!Q12),Datos!Q12," - ")</f>
        <v>389</v>
      </c>
      <c r="D12" s="408">
        <f>IF(ISNUMBER(Datos!R12),Datos!R12," - ")</f>
        <v>4039</v>
      </c>
    </row>
    <row r="13" spans="1:4" ht="14.25" thickTop="1" thickBot="1">
      <c r="A13" s="848" t="str">
        <f>Datos!A13</f>
        <v>TOTAL</v>
      </c>
      <c r="B13" s="849">
        <f>SUBTOTAL(9,B9:B12)</f>
        <v>314</v>
      </c>
      <c r="C13" s="853">
        <f>SUBTOTAL(9,C9:C12)</f>
        <v>389</v>
      </c>
      <c r="D13" s="851">
        <f>SUBTOTAL(9,D9:D12)</f>
        <v>4042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v>
      </c>
      <c r="C16" s="434">
        <f>IF(ISNUMBER(Datos!Q16),Datos!Q16," - ")</f>
        <v>74</v>
      </c>
      <c r="D16" s="408">
        <f>IF(ISNUMBER(Datos!R16),Datos!R16," - ")</f>
        <v>118</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53</v>
      </c>
      <c r="C18" s="853">
        <f>SUBTOTAL(9,C15:C17)</f>
        <v>74</v>
      </c>
      <c r="D18" s="851">
        <f>SUBTOTAL(9,D15:D17)</f>
        <v>119</v>
      </c>
    </row>
    <row r="19" spans="1:4" ht="16.5" customHeight="1" thickTop="1" thickBot="1">
      <c r="A19" s="793" t="str">
        <f>Datos!A19</f>
        <v>TOTAL JURISDICCIONES</v>
      </c>
      <c r="B19" s="798">
        <f>SUBTOTAL(9,B8:B18)</f>
        <v>367</v>
      </c>
      <c r="C19" s="799">
        <f>SUBTOTAL(9,C8:C18)</f>
        <v>463</v>
      </c>
      <c r="D19" s="800">
        <f>SUBTOTAL(9,D8:D18)</f>
        <v>4161</v>
      </c>
    </row>
    <row r="20" spans="1:4" ht="7.5" customHeight="1"/>
    <row r="21" spans="1:4" ht="6" customHeight="1"/>
    <row r="22" spans="1:4">
      <c r="A22" s="391" t="str">
        <f>Criterios!A4</f>
        <v>Fecha Informe: 27 feb. 2025</v>
      </c>
    </row>
    <row r="27" spans="1:4">
      <c r="A27" s="414"/>
    </row>
  </sheetData>
  <sheetProtection algorithmName="SHA-512" hashValue="lyDv4L0++PVZL7UuzQpRW7YpIoDuPJaWpvmwoj0cUNJh4/XsWBcnaLNTtCR6uvhrXidA+d2EbK6PuTFzUHR6nQ==" saltValue="rxBHqORVtvD1kGb9vApt7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EL EJIDO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0.44444444444444442</v>
      </c>
      <c r="D10" s="456">
        <f>IF(ISNUMBER((Datos!K10-Datos!U10)/Datos!U10),(Datos!K10-Datos!U10)/Datos!U10," - ")</f>
        <v>1.125</v>
      </c>
      <c r="E10" s="456">
        <f>IF(ISNUMBER((Datos!L10-Datos!V10)/Datos!V10),(Datos!L10-Datos!V10)/Datos!V10," - ")</f>
        <v>2.7027027027027029E-2</v>
      </c>
      <c r="F10" s="456">
        <f>IF(ISNUMBER((Datos!M10-Datos!W10)/Datos!W10),(Datos!M10-Datos!W10)/Datos!W10," - ")</f>
        <v>0.8571428571428571</v>
      </c>
      <c r="G10" s="457">
        <f>IF(ISNUMBER((Datos!N10-Datos!X10)/Datos!X10),(Datos!N10-Datos!X10)/Datos!X10," - ")</f>
        <v>0.5</v>
      </c>
      <c r="H10" s="455">
        <f>IF(ISNUMBER(((NºAsuntos!G10/NºAsuntos!E10)-Datos!BD10)/Datos!BD10),((NºAsuntos!G10/NºAsuntos!E10)-Datos!BD10)/Datos!BD10," - ")</f>
        <v>0.47115384615384626</v>
      </c>
      <c r="I10" s="456">
        <f>IF(ISNUMBER(((NºAsuntos!I10/NºAsuntos!G10)-Datos!BE10)/Datos!BE10),((NºAsuntos!I10/NºAsuntos!G10)-Datos!BE10)/Datos!BE10," - ")</f>
        <v>-0.51669316375198726</v>
      </c>
      <c r="J10" s="461">
        <f>IF(ISNUMBER((('Resol  Asuntos'!D10/NºAsuntos!G10)-Datos!BF10)/Datos!BF10),(('Resol  Asuntos'!D10/NºAsuntos!G10)-Datos!BF10)/Datos!BF10," - ")</f>
        <v>-0.12605042016806728</v>
      </c>
      <c r="K10" s="462">
        <f>IF(ISNUMBER((((NºAsuntos!C10+NºAsuntos!E10)/NºAsuntos!G10)-Datos!BG10)/Datos!BG10),(((NºAsuntos!C10+NºAsuntos!E10)/NºAsuntos!G10)-Datos!BG10)/Datos!BG10," - ")</f>
        <v>-0.42483660130718953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0.33307613168724282</v>
      </c>
      <c r="C12" s="456">
        <f>IF(ISNUMBER(
   IF(J_V="SI",(Datos!J12-Datos!T12)/Datos!T12,(Datos!J12+Datos!Z12-(Datos!T12+Datos!AH12))/(Datos!T12+Datos!AH12))
     ),IF(J_V="SI",(Datos!J12-Datos!T12)/Datos!T12,(Datos!J12+Datos!Z12-(Datos!T12+Datos!AH12))/(Datos!T12+Datos!AH12))," - ")</f>
        <v>7.9307858687815425E-3</v>
      </c>
      <c r="D12" s="456">
        <f>IF(ISNUMBER(
   IF(J_V="SI",(Datos!K12-Datos!U12)/Datos!U12,(Datos!K12+Datos!AA12-(Datos!U12+Datos!AI12))/(Datos!U12+Datos!AI12))
     ),IF(J_V="SI",(Datos!K12-Datos!U12)/Datos!U12,(Datos!K12+Datos!AA12-(Datos!U12+Datos!AI12))/(Datos!U12+Datos!AI12))," - ")</f>
        <v>0.3388671875</v>
      </c>
      <c r="E12" s="456">
        <f>IF(ISNUMBER(
   IF(J_V="SI",(Datos!L12-Datos!V12)/Datos!V12,(Datos!L12+Datos!AB12-(Datos!V12+Datos!AJ12))/(Datos!V12+Datos!AJ12))
     ),IF(J_V="SI",(Datos!L12-Datos!V12)/Datos!V12,(Datos!L12+Datos!AB12-(Datos!V12+Datos!AJ12))/(Datos!V12+Datos!AJ12))," - ")</f>
        <v>0.22559397788755586</v>
      </c>
      <c r="F12" s="456">
        <f>IF(ISNUMBER((Datos!M12-Datos!W12)/Datos!W12),(Datos!M12-Datos!W12)/Datos!W12," - ")</f>
        <v>0.3504273504273504</v>
      </c>
      <c r="G12" s="457">
        <f>IF(ISNUMBER((Datos!N12-Datos!X12)/Datos!X12),(Datos!N12-Datos!X12)/Datos!X12," - ")</f>
        <v>0.37029702970297029</v>
      </c>
      <c r="H12" s="455">
        <f>IF(ISNUMBER(((NºAsuntos!G12/NºAsuntos!E12)-Datos!BD12)/Datos!BD12),((NºAsuntos!G12/NºAsuntos!E12)-Datos!BD12)/Datos!BD12," - ")</f>
        <v>0.32833246714055808</v>
      </c>
      <c r="I12" s="456">
        <f>IF(ISNUMBER(((NºAsuntos!I12/NºAsuntos!G12)-Datos!BE12)/Datos!BE12),((NºAsuntos!I12/NºAsuntos!G12)-Datos!BE12)/Datos!BE12," - ")</f>
        <v>-8.4603768521621284E-2</v>
      </c>
      <c r="J12" s="461">
        <f>IF(ISNUMBER((('Resol  Asuntos'!D12/NºAsuntos!G12)-Datos!BF12)/Datos!BF12),(('Resol  Asuntos'!D12/NºAsuntos!G12)-Datos!BF12)/Datos!BF12," - ")</f>
        <v>-0.53263282564580305</v>
      </c>
      <c r="K12" s="462">
        <f>IF(ISNUMBER((((NºAsuntos!C12+NºAsuntos!E12)/NºAsuntos!G12)-Datos!BG12)/Datos!BG12),(((NºAsuntos!C12+NºAsuntos!E12)/NºAsuntos!G12)-Datos!BG12)/Datos!BG12," - ")</f>
        <v>-6.8180212319509395E-2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0.3315494393476045</v>
      </c>
      <c r="C13" s="855">
        <f>IF(ISNUMBER(
   IF(J_V="SI",(Datos!J13-Datos!T13)/Datos!T13,(Datos!J13+Datos!Z13-(Datos!T13+Datos!AH13))/(Datos!T13+Datos!AH13))
     ),IF(J_V="SI",(Datos!J13-Datos!T13)/Datos!T13,(Datos!J13+Datos!Z13-(Datos!T13+Datos!AH13))/(Datos!T13+Datos!AH13))," - ")</f>
        <v>1.0744985673352435E-2</v>
      </c>
      <c r="D13" s="855">
        <f>IF(ISNUMBER(
   IF(J_V="SI",(Datos!K13-Datos!U13)/Datos!U13,(Datos!K13+Datos!AA13-(Datos!U13+Datos!AI13))/(Datos!U13+Datos!AI13))
     ),IF(J_V="SI",(Datos!K13-Datos!U13)/Datos!U13,(Datos!K13+Datos!AA13-(Datos!U13+Datos!AI13))/(Datos!U13+Datos!AI13))," - ")</f>
        <v>0.34496124031007752</v>
      </c>
      <c r="E13" s="855">
        <f>IF(ISNUMBER(
   IF(J_V="SI",(Datos!L13-Datos!V13)/Datos!V13,(Datos!L13+Datos!AB13-(Datos!V13+Datos!AJ13))/(Datos!V13+Datos!AJ13))
     ),IF(J_V="SI",(Datos!L13-Datos!V13)/Datos!V13,(Datos!L13+Datos!AB13-(Datos!V13+Datos!AJ13))/(Datos!V13+Datos!AJ13))," - ")</f>
        <v>0.22388059701492538</v>
      </c>
      <c r="F13" s="856">
        <f>IF(ISNUMBER((Datos!M13-Datos!W13)/Datos!W13),(Datos!M13-Datos!W13)/Datos!W13," - ")</f>
        <v>0.36514522821576761</v>
      </c>
      <c r="G13" s="857">
        <f>IF(ISNUMBER((Datos!N13-Datos!X13)/Datos!X13),(Datos!N13-Datos!X13)/Datos!X13," - ")</f>
        <v>0.3708086785009862</v>
      </c>
      <c r="H13" s="857">
        <f>IF(ISNUMBER(((NºAsuntos!G13/NºAsuntos!E13)-Datos!BD13)/Datos!BD13),((NºAsuntos!G13/NºAsuntos!E13)-Datos!BD13)/Datos!BD13," - ")</f>
        <v>0.33066328240458415</v>
      </c>
      <c r="I13" s="857">
        <f>IF(ISNUMBER(((NºAsuntos!I13/NºAsuntos!G13)-Datos!BE13)/Datos!BE13),((NºAsuntos!I13/NºAsuntos!G13)-Datos!BE13)/Datos!BE13," - ")</f>
        <v>-9.0025377435588652E-2</v>
      </c>
      <c r="J13" s="857">
        <f>IF(ISNUMBER((('Resol  Asuntos'!D13/NºAsuntos!G13)-Datos!BF13)/Datos!BF13),(('Resol  Asuntos'!D13/NºAsuntos!G13)-Datos!BF13)/Datos!BF13," - ")</f>
        <v>-0.52223297910662825</v>
      </c>
      <c r="K13" s="857">
        <f>IF(ISNUMBER((((NºAsuntos!C13+NºAsuntos!E13)/NºAsuntos!G13)-Datos!BG13)/Datos!BG13),(((NºAsuntos!C13+NºAsuntos!E13)/NºAsuntos!G13)-Datos!BG13)/Datos!BG13," - ")</f>
        <v>-7.2561807978158754E-2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0.25857002938295787</v>
      </c>
      <c r="C16" s="456">
        <f>IF(ISNUMBER(
   IF(D_I="SI",(Datos!J16-Datos!T16)/Datos!T16,(Datos!J16+Datos!AD16-(Datos!T16+Datos!AL16))/(Datos!T16+Datos!AL16))
     ),IF(D_I="SI",(Datos!J16-Datos!T16)/Datos!T16,(Datos!J16+Datos!AD16-(Datos!T16+Datos!AL16))/(Datos!T16+Datos!AL16))," - ")</f>
        <v>-0.10142954390742001</v>
      </c>
      <c r="D16" s="456">
        <f>IF(ISNUMBER(
   IF(D_I="SI",(Datos!K16-Datos!U16)/Datos!U16,(Datos!K16+Datos!AE16-(Datos!U16+Datos!AM16))/(Datos!U16+Datos!AM16))
     ),IF(D_I="SI",(Datos!K16-Datos!U16)/Datos!U16,(Datos!K16+Datos!AE16-(Datos!U16+Datos!AM16))/(Datos!U16+Datos!AM16))," - ")</f>
        <v>-0.17466666666666666</v>
      </c>
      <c r="E16" s="456">
        <f>IF(ISNUMBER(
   IF(D_I="SI",(Datos!L16-Datos!V16)/Datos!V16,(Datos!L16+Datos!AF16-(Datos!V16+Datos!AN16))/(Datos!V16+Datos!AN16))
     ),IF(D_I="SI",(Datos!L16-Datos!V16)/Datos!V16,(Datos!L16+Datos!AF16-(Datos!V16+Datos!AN16))/(Datos!V16+Datos!AN16))," - ")</f>
        <v>0.38735177865612647</v>
      </c>
      <c r="F16" s="456">
        <f>IF(ISNUMBER((Datos!M16-Datos!W16)/Datos!W16),(Datos!M16-Datos!W16)/Datos!W16," - ")</f>
        <v>0.17582417582417584</v>
      </c>
      <c r="G16" s="457">
        <f>IF(ISNUMBER((Datos!N16-Datos!X16)/Datos!X16),(Datos!N16-Datos!X16)/Datos!X16," - ")</f>
        <v>-0.26989247311827957</v>
      </c>
      <c r="H16" s="455">
        <f>IF(ISNUMBER(((NºAsuntos!G16/NºAsuntos!E16)-Datos!BD16)/Datos!BD16),((NºAsuntos!G16/NºAsuntos!E16)-Datos!BD16)/Datos!BD16," - ")</f>
        <v>-8.1504040404040343E-2</v>
      </c>
      <c r="I16" s="456">
        <f>IF(ISNUMBER(((NºAsuntos!I16/NºAsuntos!G16)-Datos!BE16)/Datos!BE16),((NºAsuntos!I16/NºAsuntos!G16)-Datos!BE16)/Datos!BE16," - ")</f>
        <v>0.68095934409062175</v>
      </c>
      <c r="J16" s="461">
        <f>IF(ISNUMBER((('Resol  Asuntos'!D16/NºAsuntos!G16)-Datos!BF16)/Datos!BF16),(('Resol  Asuntos'!D16/NºAsuntos!G16)-Datos!BF16)/Datos!BF16," - ")</f>
        <v>0.42466580269488186</v>
      </c>
      <c r="K16" s="462">
        <f>IF(ISNUMBER((((NºAsuntos!C16+NºAsuntos!E16)/NºAsuntos!G16)-Datos!BG16)/Datos!BG16),(((NºAsuntos!C16+NºAsuntos!E16)/NºAsuntos!G16)-Datos!BG16)/Datos!BG16," - ")</f>
        <v>0.26759055608540788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-0.36486486486486486</v>
      </c>
      <c r="C17" s="456">
        <f>IF(ISNUMBER(
   IF(D_I="SI",(Datos!J17-Datos!T17)/Datos!T17,(Datos!J17+Datos!AD17-(Datos!T17+Datos!AL17))/(Datos!T17+Datos!AL17))
     ),IF(D_I="SI",(Datos!J17-Datos!T17)/Datos!T17,(Datos!J17+Datos!AD17-(Datos!T17+Datos!AL17))/(Datos!T17+Datos!AL17))," - ")</f>
        <v>-2.5423728813559324E-2</v>
      </c>
      <c r="D17" s="456">
        <f>IF(ISNUMBER(
   IF(D_I="SI",(Datos!K17-Datos!U17)/Datos!U17,(Datos!K17+Datos!AE17-(Datos!U17+Datos!AM17))/(Datos!U17+Datos!AM17))
     ),IF(D_I="SI",(Datos!K17-Datos!U17)/Datos!U17,(Datos!K17+Datos!AE17-(Datos!U17+Datos!AM17))/(Datos!U17+Datos!AM17))," - ")</f>
        <v>-0.46470588235294119</v>
      </c>
      <c r="E17" s="456">
        <f>IF(ISNUMBER(
   IF(D_I="SI",(Datos!L17-Datos!V17)/Datos!V17,(Datos!L17+Datos!AF17-(Datos!V17+Datos!AN17))/(Datos!V17+Datos!AN17))
     ),IF(D_I="SI",(Datos!L17-Datos!V17)/Datos!V17,(Datos!L17+Datos!AF17-(Datos!V17+Datos!AN17))/(Datos!V17+Datos!AN17))," - ")</f>
        <v>2.2272727272727271</v>
      </c>
      <c r="F17" s="456">
        <f>IF(ISNUMBER((Datos!M17-Datos!W17)/Datos!W17),(Datos!M17-Datos!W17)/Datos!W17," - ")</f>
        <v>1.6842105263157894</v>
      </c>
      <c r="G17" s="457">
        <f>IF(ISNUMBER((Datos!N17-Datos!X17)/Datos!X17),(Datos!N17-Datos!X17)/Datos!X17," - ")</f>
        <v>-0.42424242424242425</v>
      </c>
      <c r="H17" s="455">
        <f>IF(ISNUMBER(((NºAsuntos!G17/NºAsuntos!E17)-Datos!BD17)/Datos!BD17),((NºAsuntos!G17/NºAsuntos!E17)-Datos!BD17)/Datos!BD17," - ")</f>
        <v>-0.45074168797953962</v>
      </c>
      <c r="I17" s="456">
        <f>IF(ISNUMBER(((NºAsuntos!I17/NºAsuntos!G17)-Datos!BE17)/Datos!BE17),((NºAsuntos!I17/NºAsuntos!G17)-Datos!BE17)/Datos!BE17," - ")</f>
        <v>5.0289710289710285</v>
      </c>
      <c r="J17" s="461">
        <f>IF(ISNUMBER((('Resol  Asuntos'!D17/NºAsuntos!G17)-Datos!BF17)/Datos!BF17),(('Resol  Asuntos'!D17/NºAsuntos!G17)-Datos!BF17)/Datos!BF17," - ")</f>
        <v>4.0144592249855409</v>
      </c>
      <c r="K17" s="462">
        <f>IF(ISNUMBER((((NºAsuntos!C17+NºAsuntos!E17)/NºAsuntos!G17)-Datos!BG17)/Datos!BG17),(((NºAsuntos!C17+NºAsuntos!E17)/NºAsuntos!G17)-Datos!BG17)/Datos!BG17," - ")</f>
        <v>0.57623626373626369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0.21643835616438356</v>
      </c>
      <c r="C18" s="855">
        <f>IF(ISNUMBER(
   IF(Criterios!B14="SI",(Datos!J18-Datos!T18)/Datos!T18,(Datos!J18+Datos!AD18-(Datos!T18+Datos!AL18))/(Datos!T18+Datos!AL18))
     ),IF(Criterios!B14="SI",(Datos!J18-Datos!T18)/Datos!T18,(Datos!J18+Datos!AD18-(Datos!T18+Datos!AL18))/(Datos!T18+Datos!AL18))," - ")</f>
        <v>-9.5778197857592937E-2</v>
      </c>
      <c r="D18" s="855">
        <f>IF(ISNUMBER(
   IF(Criterios!B14="SI",(Datos!K18-Datos!U18)/Datos!U18,(Datos!K18+Datos!AE18-(Datos!U18+Datos!AM18))/(Datos!U18+Datos!AM18))
     ),IF(Criterios!B14="SI",(Datos!K18-Datos!U18)/Datos!U18,(Datos!K18+Datos!AE18-(Datos!U18+Datos!AM18))/(Datos!U18+Datos!AM18))," - ")</f>
        <v>-0.20419161676646708</v>
      </c>
      <c r="E18" s="855">
        <f>IF(ISNUMBER(
   IF(Criterios!B14="SI",(Datos!L18-Datos!V18)/Datos!V18,(Datos!L18+Datos!AF18-(Datos!V18+Datos!AN18))/(Datos!V18+Datos!AN18))
     ),IF(Criterios!B14="SI",(Datos!L18-Datos!V18)/Datos!V18,(Datos!L18+Datos!AF18-(Datos!V18+Datos!AN18))/(Datos!V18+Datos!AN18))," - ")</f>
        <v>0.42649903288201163</v>
      </c>
      <c r="F18" s="856">
        <f>IF(ISNUMBER((Datos!M18-Datos!W18)/Datos!W18),(Datos!M18-Datos!W18)/Datos!W18," - ")</f>
        <v>0.31840796019900497</v>
      </c>
      <c r="G18" s="857">
        <f>IF(ISNUMBER((Datos!N18-Datos!X18)/Datos!X18),(Datos!N18-Datos!X18)/Datos!X18," - ")</f>
        <v>-0.28474246841593781</v>
      </c>
      <c r="H18" s="857">
        <f>IF(ISNUMBER(((NºAsuntos!G18/NºAsuntos!E18)-Datos!BD18)/Datos!BD18),((NºAsuntos!G18/NºAsuntos!E18)-Datos!BD18)/Datos!BD18," - ")</f>
        <v>-0.11989693087692208</v>
      </c>
      <c r="I18" s="857">
        <f>IF(ISNUMBER(((NºAsuntos!I18/NºAsuntos!G18)-Datos!BE18)/Datos!BE18),((NºAsuntos!I18/NºAsuntos!G18)-Datos!BE18)/Datos!BE18," - ")</f>
        <v>0.79251571475768179</v>
      </c>
      <c r="J18" s="857">
        <f>IF(ISNUMBER((('Resol  Asuntos'!D18/NºAsuntos!G18)-Datos!BF18)/Datos!BF18),(('Resol  Asuntos'!D18/NºAsuntos!G18)-Datos!BF18)/Datos!BF18," - ")</f>
        <v>0.65669021334261723</v>
      </c>
      <c r="K18" s="857">
        <f>IF(ISNUMBER((((NºAsuntos!C18+NºAsuntos!E18)/NºAsuntos!G18)-Datos!BG18)/Datos!BG18),(((NºAsuntos!C18+NºAsuntos!E18)/NºAsuntos!G18)-Datos!BG18)/Datos!BG18," - ")</f>
        <v>0.29640851783957811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0.30643554492926878</v>
      </c>
      <c r="C19" s="802">
        <f>IF(ISNUMBER(
   IF(J_V="SI",(Datos!J19-Datos!T19)/Datos!T19,(Datos!J19+Datos!Z19-(Datos!T19+Datos!AH19))/(Datos!T19+Datos!AH19))
     ),IF(J_V="SI",(Datos!J19-Datos!T19)/Datos!T19,(Datos!J19+Datos!Z19-(Datos!T19+Datos!AH19))/(Datos!T19+Datos!AH19))," - ")</f>
        <v>-4.5926919208850149E-2</v>
      </c>
      <c r="D19" s="802">
        <f>IF(ISNUMBER(
   IF(J_V="SI",(Datos!K19-Datos!U19)/Datos!U19,(Datos!K19+Datos!AA19-(Datos!U19+Datos!AI19))/(Datos!U19+Datos!AI19))
     ),IF(J_V="SI",(Datos!K19-Datos!U19)/Datos!U19,(Datos!K19+Datos!AA19-(Datos!U19+Datos!AI19))/(Datos!U19+Datos!AI19))," - ")</f>
        <v>5.5514433752775726E-3</v>
      </c>
      <c r="E19" s="802">
        <f>IF(ISNUMBER(
   IF(J_V="SI",(Datos!L19-Datos!V19)/Datos!V19,(Datos!L19+Datos!AB19-(Datos!V19+Datos!AJ19))/(Datos!V19+Datos!AJ19))
     ),IF(J_V="SI",(Datos!L19-Datos!V19)/Datos!V19,(Datos!L19+Datos!AB19-(Datos!V19+Datos!AJ19))/(Datos!V19+Datos!AJ19))," - ")</f>
        <v>0.26324689966178128</v>
      </c>
      <c r="F19" s="803">
        <f>IF(ISNUMBER((Datos!M19-Datos!W19)/Datos!W19),(Datos!M19-Datos!W19)/Datos!W19," - ")</f>
        <v>0.34389140271493213</v>
      </c>
      <c r="G19" s="804">
        <f>IF(ISNUMBER((Datos!N19-Datos!X19)/Datos!X19),(Datos!N19-Datos!X19)/Datos!X19," - ")</f>
        <v>-6.8359375E-2</v>
      </c>
      <c r="H19" s="805">
        <f>IF(ISNUMBER((Tasas!B19-Datos!BD19)/Datos!BD19),(Tasas!B19-Datos!BD19)/Datos!BD19," - ")</f>
        <v>5.3956414472400877E-2</v>
      </c>
      <c r="I19" s="806">
        <f>IF(ISNUMBER((Tasas!C19-Datos!BE19)/Datos!BE19),(Tasas!C19-Datos!BE19)/Datos!BE19," - ")</f>
        <v>0.25627277250133718</v>
      </c>
      <c r="J19" s="807">
        <f>IF(ISNUMBER((Tasas!D19-Datos!BF19)/Datos!BF19),(Tasas!D19-Datos!BF19)/Datos!BF19," - ")</f>
        <v>-0.17149979274434873</v>
      </c>
      <c r="K19" s="807">
        <f>IF(ISNUMBER((Tasas!E19-Datos!BG19)/Datos!BG19),(Tasas!E19-Datos!BG19)/Datos!BG19," - ")</f>
        <v>0.1685938471215836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hDuUlxVu1evoZ28BiV/RPkrYvTuZdhfNCeZ3uzXUGlk1S1kBk0StJXxf6SU9lUtw08mZJ+QoqV8/42CYqUluA==" saltValue="+hOtuLCi0txjiV304pwF7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EL EJIDO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1.3076923076923077</v>
      </c>
      <c r="C10" s="443">
        <f>IF(ISNUMBER(NºAsuntos!I10/NºAsuntos!G10),NºAsuntos!I10/NºAsuntos!G10," - ")</f>
        <v>2.2352941176470589</v>
      </c>
      <c r="D10" s="444">
        <f>IF(ISNUMBER('Resol  Asuntos'!D10/NºAsuntos!G10),'Resol  Asuntos'!D10/NºAsuntos!G10," - ")</f>
        <v>0.76470588235294112</v>
      </c>
      <c r="E10" s="445">
        <f>IF(ISNUMBER((NºAsuntos!C10+NºAsuntos!E10)/NºAsuntos!G10),(NºAsuntos!C10+NºAsuntos!E10)/NºAsuntos!G10," - ")</f>
        <v>3.2352941176470589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0.98068669527897001</v>
      </c>
      <c r="C12" s="443">
        <f>IF(ISNUMBER(NºAsuntos!I12/NºAsuntos!G12),NºAsuntos!I12/NºAsuntos!G12," - ")</f>
        <v>3.800145878920496</v>
      </c>
      <c r="D12" s="444">
        <f>IF(ISNUMBER('Resol  Asuntos'!D12/NºAsuntos!G12),'Resol  Asuntos'!D12/NºAsuntos!G12," - ")</f>
        <v>0.23048869438366157</v>
      </c>
      <c r="E12" s="445">
        <f>IF(ISNUMBER((NºAsuntos!C12+NºAsuntos!E12)/NºAsuntos!G12),(NºAsuntos!C12+NºAsuntos!E12)/NºAsuntos!G12," - ")</f>
        <v>4.800145878920496</v>
      </c>
      <c r="G12" s="463"/>
    </row>
    <row r="13" spans="1:7" ht="14.25" thickTop="1" thickBot="1">
      <c r="A13" s="848" t="str">
        <f>Datos!A13</f>
        <v>TOTAL</v>
      </c>
      <c r="B13" s="858">
        <f>IF(ISNUMBER(NºAsuntos!G13/NºAsuntos!E13),NºAsuntos!G13/NºAsuntos!E13," - ")</f>
        <v>0.98369950389794469</v>
      </c>
      <c r="C13" s="859">
        <f>IF(ISNUMBER(NºAsuntos!I13/NºAsuntos!G13),NºAsuntos!I13/NºAsuntos!G13," - ")</f>
        <v>3.7809798270893373</v>
      </c>
      <c r="D13" s="860">
        <f>IF(ISNUMBER('Resol  Asuntos'!D13/NºAsuntos!G13),'Resol  Asuntos'!D13/NºAsuntos!G13," - ")</f>
        <v>0.23703170028818443</v>
      </c>
      <c r="E13" s="861">
        <f>IF(ISNUMBER((NºAsuntos!C13+NºAsuntos!E13)/NºAsuntos!G13),(NºAsuntos!C13+NºAsuntos!E13)/NºAsuntos!G13," - ")</f>
        <v>4.7809798270893369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0.93787878787878787</v>
      </c>
      <c r="C16" s="443">
        <f>IF(ISNUMBER(NºAsuntos!I16/NºAsuntos!G16),NºAsuntos!I16/NºAsuntos!G16," - ")</f>
        <v>1.1340872374798061</v>
      </c>
      <c r="D16" s="444">
        <f>IF(ISNUMBER('Resol  Asuntos'!D16/NºAsuntos!G16),'Resol  Asuntos'!D16/NºAsuntos!G16," - ")</f>
        <v>0.172859450726979</v>
      </c>
      <c r="E16" s="445">
        <f>IF(ISNUMBER((NºAsuntos!C16+NºAsuntos!E16)/NºAsuntos!G16),(NºAsuntos!C16+NºAsuntos!E16)/NºAsuntos!G16," - ")</f>
        <v>2.104200323101777</v>
      </c>
      <c r="G16" s="463"/>
    </row>
    <row r="17" spans="1:7" ht="13.5" thickBot="1">
      <c r="A17" s="402" t="str">
        <f>Datos!A17</f>
        <v>Jdos. Violencia contra la mujer</v>
      </c>
      <c r="B17" s="442">
        <f>IF(ISNUMBER(NºAsuntos!G17/NºAsuntos!E17),NºAsuntos!G17/NºAsuntos!E17," - ")</f>
        <v>0.79130434782608694</v>
      </c>
      <c r="C17" s="443">
        <f>IF(ISNUMBER(NºAsuntos!I17/NºAsuntos!G17),NºAsuntos!I17/NºAsuntos!G17," - ")</f>
        <v>0.78021978021978022</v>
      </c>
      <c r="D17" s="444">
        <f>IF(ISNUMBER('Resol  Asuntos'!D17/NºAsuntos!G17),'Resol  Asuntos'!D17/NºAsuntos!G17," - ")</f>
        <v>0.56043956043956045</v>
      </c>
      <c r="E17" s="445">
        <f>IF(ISNUMBER((NºAsuntos!C17+NºAsuntos!E17)/NºAsuntos!G17),(NºAsuntos!C17+NºAsuntos!E17)/NºAsuntos!G17," - ")</f>
        <v>1.7802197802197801</v>
      </c>
      <c r="G17" s="463"/>
    </row>
    <row r="18" spans="1:7" ht="14.25" thickTop="1" thickBot="1">
      <c r="A18" s="848" t="str">
        <f>Datos!A18</f>
        <v>TOTAL</v>
      </c>
      <c r="B18" s="858">
        <f>IF(ISNUMBER(NºAsuntos!G18/NºAsuntos!E18),NºAsuntos!G18/NºAsuntos!E18," - ")</f>
        <v>0.9261324041811847</v>
      </c>
      <c r="C18" s="859">
        <f>IF(ISNUMBER(NºAsuntos!I18/NºAsuntos!G18),NºAsuntos!I18/NºAsuntos!G18," - ")</f>
        <v>1.109857035364936</v>
      </c>
      <c r="D18" s="862">
        <f>IF(ISNUMBER('Resol  Asuntos'!D18/NºAsuntos!G18),'Resol  Asuntos'!D18/NºAsuntos!G18," - ")</f>
        <v>0.19939804364183597</v>
      </c>
      <c r="E18" s="861">
        <f>IF(ISNUMBER((NºAsuntos!C18+NºAsuntos!E18)/NºAsuntos!G18),(NºAsuntos!C18+NºAsuntos!E18)/NºAsuntos!G18," - ")</f>
        <v>2.0820165537998494</v>
      </c>
      <c r="G18" s="463"/>
    </row>
    <row r="19" spans="1:7" ht="15.75" customHeight="1" thickTop="1" thickBot="1">
      <c r="A19" s="793" t="str">
        <f>Datos!A19</f>
        <v>TOTAL JURISDICCIONES</v>
      </c>
      <c r="B19" s="808">
        <f>IF(ISNUMBER(NºAsuntos!G19/NºAsuntos!E19),NºAsuntos!G19/NºAsuntos!E19," - ")</f>
        <v>0.95467322557976109</v>
      </c>
      <c r="C19" s="809">
        <f>IF(ISNUMBER(NºAsuntos!I19/NºAsuntos!G19),NºAsuntos!I19/NºAsuntos!G19," - ")</f>
        <v>2.4744203165255798</v>
      </c>
      <c r="D19" s="810">
        <f>IF(ISNUMBER('Resol  Asuntos'!D19/NºAsuntos!G19),'Resol  Asuntos'!D19/NºAsuntos!G19," - ")</f>
        <v>0.21862348178137653</v>
      </c>
      <c r="E19" s="811">
        <f>IF(ISNUMBER((NºAsuntos!C19+NºAsuntos!E19)/NºAsuntos!G19),(NºAsuntos!C19+NºAsuntos!E19)/NºAsuntos!G19," - ")</f>
        <v>3.4608023555391978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Vw3z7SzTNZFSKJdT3XV/Hxy7IGu9E85ve+VTm6+85m29esM3af79t0CqiFv4I+KYIzjAwy2+AlwvcSgwOoxNA==" saltValue="Oy6VvuuPKrXnwVy9XG0u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EL EJIDO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38</v>
      </c>
      <c r="AB10" s="334">
        <f>IF(ISNUMBER(Datos!R10),Datos!R10," - ")</f>
        <v>3</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1.3076923076923077</v>
      </c>
      <c r="AM10" s="260">
        <f>IF(ISNUMBER(((NºAsuntos!I10/NºAsuntos!G10)*11)/factor_trimestre),((NºAsuntos!I10/NºAsuntos!G10)*11)/factor_trimestre," - ")</f>
        <v>6.7058823529411775</v>
      </c>
      <c r="AN10" s="244">
        <f>IF(ISNUMBER('Resol  Asuntos'!D10/NºAsuntos!G10),'Resol  Asuntos'!D10/NºAsuntos!G10," - ")</f>
        <v>0.76470588235294112</v>
      </c>
      <c r="AO10" s="245">
        <f>IF(ISNUMBER((NºAsuntos!C10+NºAsuntos!E10)/NºAsuntos!G10),(NºAsuntos!C10+NºAsuntos!E10)/NºAsuntos!G10," - ")</f>
        <v>3.2352941176470589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389</v>
      </c>
      <c r="Y12" s="334">
        <f t="shared" si="0"/>
        <v>389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316</v>
      </c>
      <c r="AJ12" s="229" t="str">
        <f>IF(ISNUMBER(Datos!BW12),Datos!BW12," - ")</f>
        <v xml:space="preserve"> - </v>
      </c>
      <c r="AK12" s="228" t="str">
        <f>IF(ISNUMBER(Datos!BX12),Datos!BX12," - ")</f>
        <v xml:space="preserve"> - </v>
      </c>
      <c r="AL12" s="243">
        <f>IF(ISNUMBER(NºAsuntos!G12/NºAsuntos!E12),NºAsuntos!G12/NºAsuntos!E12," - ")</f>
        <v>0.98068669527897001</v>
      </c>
      <c r="AM12" s="260">
        <f>IF(ISNUMBER(((NºAsuntos!I12/NºAsuntos!G12)*11)/factor_trimestre),((NºAsuntos!I12/NºAsuntos!G12)*11)/factor_trimestre," - ")</f>
        <v>11.400437636761488</v>
      </c>
      <c r="AN12" s="244">
        <f>IF(ISNUMBER('Resol  Asuntos'!D12/NºAsuntos!G12),'Resol  Asuntos'!D12/NºAsuntos!G12," - ")</f>
        <v>0.23048869438366157</v>
      </c>
      <c r="AO12" s="245">
        <f>IF(ISNUMBER((NºAsuntos!C12+NºAsuntos!E12)/NºAsuntos!G12),(NºAsuntos!C12+NºAsuntos!E12)/NºAsuntos!G12," - ")</f>
        <v>4.800145878920496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42</v>
      </c>
      <c r="G13" s="866">
        <f t="shared" si="3"/>
        <v>42</v>
      </c>
      <c r="H13" s="865">
        <f t="shared" si="3"/>
        <v>0</v>
      </c>
      <c r="I13" s="867">
        <f t="shared" si="3"/>
        <v>0</v>
      </c>
      <c r="J13" s="867">
        <f t="shared" si="3"/>
        <v>0</v>
      </c>
      <c r="K13" s="867">
        <f t="shared" si="3"/>
        <v>0</v>
      </c>
      <c r="L13" s="867">
        <f t="shared" si="3"/>
        <v>314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389</v>
      </c>
      <c r="Y13" s="868">
        <f t="shared" si="4"/>
        <v>406</v>
      </c>
      <c r="Z13" s="868">
        <f t="shared" si="4"/>
        <v>0</v>
      </c>
      <c r="AA13" s="868">
        <f t="shared" si="4"/>
        <v>38</v>
      </c>
      <c r="AB13" s="868">
        <f t="shared" si="4"/>
        <v>4042</v>
      </c>
      <c r="AC13" s="868">
        <f t="shared" si="4"/>
        <v>41</v>
      </c>
      <c r="AD13" s="868">
        <f t="shared" si="4"/>
        <v>0</v>
      </c>
      <c r="AE13" s="872">
        <f t="shared" si="4"/>
        <v>0</v>
      </c>
      <c r="AF13" s="865">
        <f t="shared" si="4"/>
        <v>0</v>
      </c>
      <c r="AG13" s="873">
        <f t="shared" si="4"/>
        <v>0</v>
      </c>
      <c r="AH13" s="870">
        <f t="shared" si="4"/>
        <v>0</v>
      </c>
      <c r="AI13" s="865">
        <f t="shared" si="4"/>
        <v>329</v>
      </c>
      <c r="AJ13" s="867">
        <f t="shared" si="4"/>
        <v>0</v>
      </c>
      <c r="AK13" s="870">
        <f>SUBTOTAL(9,AK9:AK12)</f>
        <v>0</v>
      </c>
      <c r="AL13" s="874">
        <f>IF(ISNUMBER(NºAsuntos!G13/NºAsuntos!E13),NºAsuntos!G13/NºAsuntos!E13," - ")</f>
        <v>0.98369950389794469</v>
      </c>
      <c r="AM13" s="874">
        <f>IF(ISNUMBER(((NºAsuntos!I13/NºAsuntos!G13)*11)/factor_trimestre),((NºAsuntos!I13/NºAsuntos!G13)*11)/factor_trimestre," - ")</f>
        <v>11.342939481268013</v>
      </c>
      <c r="AN13" s="875">
        <f>IF(ISNUMBER('Resol  Asuntos'!D13/NºAsuntos!G13),'Resol  Asuntos'!D13/NºAsuntos!G13," - ")</f>
        <v>0.23703170028818443</v>
      </c>
      <c r="AO13" s="876">
        <f>IF(ISNUMBER((NºAsuntos!C13+NºAsuntos!E13)/NºAsuntos!G13),(NºAsuntos!C13+NºAsuntos!E13)/NºAsuntos!G13," - ")</f>
        <v>4.7809798270893369</v>
      </c>
      <c r="AP13" s="877" t="str">
        <f t="shared" si="2"/>
        <v xml:space="preserve"> - </v>
      </c>
      <c r="AQ13" s="877">
        <f>IF(ISNUMBER((H13-W13+K13)/(F13)),(H13-W13+K13)/(F13)," - ")</f>
        <v>-0.40476190476190477</v>
      </c>
      <c r="AR13" s="878">
        <f>IF(ISNUMBER((Datos!P13-Datos!Q13)/(Datos!R13-Datos!P13+Datos!Q13)),(Datos!P13-Datos!Q13)/(Datos!R13-Datos!P13+Datos!Q13)," - ")</f>
        <v>-1.8217148409035707E-2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1322</v>
      </c>
      <c r="G16" s="333">
        <f>IF(ISNUMBER(IF(D_I="SI",Datos!I16,Datos!I16+Datos!AC16)),IF(D_I="SI",Datos!I16,Datos!I16+Datos!AC16)," - ")</f>
        <v>1285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1238</v>
      </c>
      <c r="X16" s="226">
        <f>IF(ISNUMBER(Datos!Q16),Datos!Q16," - ")</f>
        <v>74</v>
      </c>
      <c r="Y16" s="334">
        <f t="shared" ref="Y16:Y17" si="7">SUM(W16:X16)</f>
        <v>1312</v>
      </c>
      <c r="Z16" s="335" t="str">
        <f>IF(ISNUMBER(Datos!CC16),Datos!CC16," - ")</f>
        <v xml:space="preserve"> - </v>
      </c>
      <c r="AA16" s="332">
        <f>IF(ISNUMBER(IF(D_I="SI",Datos!L16,Datos!L16+Datos!AF16)),IF(D_I="SI",Datos!L16,Datos!L16+Datos!AF16)," - ")</f>
        <v>1404</v>
      </c>
      <c r="AB16" s="334">
        <f>IF(ISNUMBER(Datos!R16),Datos!R16," - ")</f>
        <v>118</v>
      </c>
      <c r="AC16" s="334">
        <f t="shared" si="6"/>
        <v>1522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214</v>
      </c>
      <c r="AJ16" s="231" t="str">
        <f>IF(ISNUMBER(Datos!BW16),Datos!BW16," - ")</f>
        <v xml:space="preserve"> - </v>
      </c>
      <c r="AK16" s="232" t="str">
        <f>IF(ISNUMBER(Datos!BX16),Datos!BX16," - ")</f>
        <v xml:space="preserve"> - </v>
      </c>
      <c r="AL16" s="243">
        <f>IF(ISNUMBER(NºAsuntos!G16/NºAsuntos!E16),NºAsuntos!G16/NºAsuntos!E16," - ")</f>
        <v>0.93787878787878787</v>
      </c>
      <c r="AM16" s="260">
        <f>IF(ISNUMBER(((NºAsuntos!I16/NºAsuntos!G16)*11)/factor_trimestre),((NºAsuntos!I16/NºAsuntos!G16)*11)/factor_trimestre," - ")</f>
        <v>3.4022617124394188</v>
      </c>
      <c r="AN16" s="244">
        <f>IF(ISNUMBER('Resol  Asuntos'!D16/NºAsuntos!G16),'Resol  Asuntos'!D16/NºAsuntos!G16," - ")</f>
        <v>0.172859450726979</v>
      </c>
      <c r="AO16" s="245">
        <f>IF(ISNUMBER((NºAsuntos!C16+NºAsuntos!E16)/NºAsuntos!G16),(NºAsuntos!C16+NºAsuntos!E16)/NºAsuntos!G16," - ")</f>
        <v>2.104200323101777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0</v>
      </c>
      <c r="Y17" s="334">
        <f t="shared" si="7"/>
        <v>91</v>
      </c>
      <c r="Z17" s="335" t="str">
        <f>IF(ISNUMBER(Datos!CC17),Datos!CC17," - ")</f>
        <v xml:space="preserve"> - </v>
      </c>
      <c r="AA17" s="332">
        <f>IF(ISNUMBER(Datos!L17),Datos!L17,"-")</f>
        <v>71</v>
      </c>
      <c r="AB17" s="334">
        <f>IF(ISNUMBER(Datos!R17),Datos!R17," - ")</f>
        <v>1</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51</v>
      </c>
      <c r="AJ17" s="231" t="str">
        <f>IF(ISNUMBER(Datos!BW17),Datos!BW17," - ")</f>
        <v xml:space="preserve"> - </v>
      </c>
      <c r="AK17" s="232" t="str">
        <f>IF(ISNUMBER(Datos!BX17),Datos!BX17," - ")</f>
        <v xml:space="preserve"> - </v>
      </c>
      <c r="AL17" s="243">
        <f>IF(ISNUMBER(NºAsuntos!G17/NºAsuntos!E17),NºAsuntos!G17/NºAsuntos!E17," - ")</f>
        <v>0.79130434782608694</v>
      </c>
      <c r="AM17" s="260">
        <f>IF(ISNUMBER(((NºAsuntos!I17/NºAsuntos!G17)*11)/factor_trimestre),((NºAsuntos!I17/NºAsuntos!G17)*11)/factor_trimestre," - ")</f>
        <v>2.3406593406593408</v>
      </c>
      <c r="AN17" s="244">
        <f>IF(ISNUMBER('Resol  Asuntos'!D17/NºAsuntos!G17),'Resol  Asuntos'!D17/NºAsuntos!G17," - ")</f>
        <v>0.56043956043956045</v>
      </c>
      <c r="AO17" s="245">
        <f>IF(ISNUMBER((NºAsuntos!C17+NºAsuntos!E17)/NºAsuntos!G17),(NºAsuntos!C17+NºAsuntos!E17)/NºAsuntos!G17," - ")</f>
        <v>1.7802197802197801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1322</v>
      </c>
      <c r="G18" s="866">
        <f>SUBTOTAL(9,G15:G17)</f>
        <v>1332</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1329</v>
      </c>
      <c r="X18" s="867">
        <f t="shared" si="11"/>
        <v>74</v>
      </c>
      <c r="Y18" s="868">
        <f t="shared" si="11"/>
        <v>1403</v>
      </c>
      <c r="Z18" s="868">
        <f t="shared" si="11"/>
        <v>0</v>
      </c>
      <c r="AA18" s="868">
        <f t="shared" si="11"/>
        <v>1475</v>
      </c>
      <c r="AB18" s="868">
        <f t="shared" si="11"/>
        <v>119</v>
      </c>
      <c r="AC18" s="868">
        <f t="shared" si="11"/>
        <v>1594</v>
      </c>
      <c r="AD18" s="868">
        <f t="shared" si="11"/>
        <v>0</v>
      </c>
      <c r="AE18" s="872">
        <f t="shared" si="11"/>
        <v>0</v>
      </c>
      <c r="AF18" s="865">
        <f t="shared" si="11"/>
        <v>0</v>
      </c>
      <c r="AG18" s="873">
        <f t="shared" si="11"/>
        <v>0</v>
      </c>
      <c r="AH18" s="870">
        <f t="shared" si="11"/>
        <v>0</v>
      </c>
      <c r="AI18" s="865">
        <f t="shared" si="11"/>
        <v>265</v>
      </c>
      <c r="AJ18" s="867">
        <f t="shared" si="11"/>
        <v>0</v>
      </c>
      <c r="AK18" s="870">
        <f t="shared" si="11"/>
        <v>0</v>
      </c>
      <c r="AL18" s="874">
        <f>IF(ISNUMBER(NºAsuntos!G18/NºAsuntos!E18),NºAsuntos!G18/NºAsuntos!E18," - ")</f>
        <v>0.9261324041811847</v>
      </c>
      <c r="AM18" s="874">
        <f>IF(ISNUMBER(((NºAsuntos!I18/NºAsuntos!G18)*11)/factor_trimestre),((NºAsuntos!I18/NºAsuntos!G18)*11)/factor_trimestre," - ")</f>
        <v>3.3295711060948077</v>
      </c>
      <c r="AN18" s="875">
        <f>IF(ISNUMBER('Resol  Asuntos'!D18/NºAsuntos!G18),'Resol  Asuntos'!D18/NºAsuntos!G18," - ")</f>
        <v>0.19939804364183597</v>
      </c>
      <c r="AO18" s="876">
        <f>IF(ISNUMBER((NºAsuntos!C18+NºAsuntos!E18)/NºAsuntos!G18),(NºAsuntos!C18+NºAsuntos!E18)/NºAsuntos!G18," - ")</f>
        <v>2.0820165537998494</v>
      </c>
      <c r="AP18" s="877" t="str">
        <f t="shared" si="2"/>
        <v xml:space="preserve"> - </v>
      </c>
      <c r="AQ18" s="877">
        <f>IF(ISNUMBER((H18-W18+K18)/(F18)),(H18-W18+K18)/(F18)," - ")</f>
        <v>-1.0052950075642966</v>
      </c>
      <c r="AR18" s="878">
        <f>IF(ISNUMBER((Datos!P18-Datos!Q18)/(Datos!R18-Datos!P18+Datos!Q18)),(Datos!P18-Datos!Q18)/(Datos!R18-Datos!P18+Datos!Q18)," - ")</f>
        <v>-0.15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1364</v>
      </c>
      <c r="G19" s="821">
        <f t="shared" si="13"/>
        <v>1374</v>
      </c>
      <c r="H19" s="820">
        <f t="shared" si="13"/>
        <v>0</v>
      </c>
      <c r="I19" s="822">
        <f t="shared" si="13"/>
        <v>0</v>
      </c>
      <c r="J19" s="822">
        <f t="shared" si="13"/>
        <v>0</v>
      </c>
      <c r="K19" s="881">
        <f t="shared" si="13"/>
        <v>0</v>
      </c>
      <c r="L19" s="822">
        <f t="shared" si="13"/>
        <v>367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1346</v>
      </c>
      <c r="X19" s="821">
        <f t="shared" si="14"/>
        <v>463</v>
      </c>
      <c r="Y19" s="828">
        <f t="shared" si="14"/>
        <v>1809</v>
      </c>
      <c r="Z19" s="828">
        <f t="shared" si="14"/>
        <v>0</v>
      </c>
      <c r="AA19" s="828">
        <f t="shared" si="14"/>
        <v>1513</v>
      </c>
      <c r="AB19" s="828">
        <f t="shared" si="14"/>
        <v>4161</v>
      </c>
      <c r="AC19" s="828">
        <f t="shared" si="14"/>
        <v>1635</v>
      </c>
      <c r="AD19" s="828">
        <f t="shared" si="14"/>
        <v>0</v>
      </c>
      <c r="AE19" s="830">
        <f t="shared" si="14"/>
        <v>0</v>
      </c>
      <c r="AF19" s="831">
        <f t="shared" si="14"/>
        <v>0</v>
      </c>
      <c r="AG19" s="832">
        <f t="shared" si="14"/>
        <v>0</v>
      </c>
      <c r="AH19" s="830">
        <f t="shared" si="14"/>
        <v>0</v>
      </c>
      <c r="AI19" s="820">
        <f t="shared" si="14"/>
        <v>594</v>
      </c>
      <c r="AJ19" s="820">
        <f t="shared" si="14"/>
        <v>0</v>
      </c>
      <c r="AK19" s="830">
        <f t="shared" si="14"/>
        <v>0</v>
      </c>
      <c r="AL19" s="884">
        <f>IF(ISNUMBER(NºAsuntos!G19/NºAsuntos!E19),NºAsuntos!G19/NºAsuntos!E19," - ")</f>
        <v>0.95467322557976109</v>
      </c>
      <c r="AM19" s="885">
        <f>IF(ISNUMBER(((NºAsuntos!I19/NºAsuntos!G19)*11)/factor_trimestre),((NºAsuntos!I19/NºAsuntos!G19)*11)/factor_trimestre," - ")</f>
        <v>7.4232609495767399</v>
      </c>
      <c r="AN19" s="885">
        <f>IF(ISNUMBER('Resol  Asuntos'!D19/NºAsuntos!G19),'Resol  Asuntos'!D19/NºAsuntos!G19," - ")</f>
        <v>0.21862348178137653</v>
      </c>
      <c r="AO19" s="886">
        <f>IF(ISNUMBER((NºAsuntos!C19+NºAsuntos!E19)/NºAsuntos!G19),(NºAsuntos!C19+NºAsuntos!E19)/NºAsuntos!G19," - ")</f>
        <v>3.4608023555391978</v>
      </c>
      <c r="AP19" s="887" t="str">
        <f t="shared" si="2"/>
        <v xml:space="preserve"> - </v>
      </c>
      <c r="AQ19" s="888">
        <f>IF(OR(ISNUMBER(FIND("01",Criterios!A8,1)),ISNUMBER(FIND("02",Criterios!A8,1)),ISNUMBER(FIND("03",Criterios!A8,1)),ISNUMBER(FIND("04",Criterios!A8,1))),(I19-W19+K19)/(F19-K19),(H19-W19+K19)/(F19-K19))</f>
        <v>-0.98680351906158359</v>
      </c>
      <c r="AR19" s="889">
        <f>IF(ISNUMBER((Datos!P19-Datos!Q19)/(Datos!R19-Datos!P19+Datos!Q19)),(Datos!P19-Datos!Q19)/(Datos!R19-Datos!P19+Datos!Q19)," - ")</f>
        <v>-2.255109231853418E-2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739.00834456272105</v>
      </c>
      <c r="G21" s="253">
        <f>IF(ISNUMBER(STDEV(G8:G18)),STDEV(G8:G18),"-")</f>
        <v>692.98001414182215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681.61044592934456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135.39867059908676</v>
      </c>
      <c r="AJ21" s="252">
        <f t="shared" si="18"/>
        <v>0</v>
      </c>
      <c r="AK21" s="254">
        <f t="shared" si="18"/>
        <v>0</v>
      </c>
      <c r="AL21" s="249">
        <f t="shared" si="18"/>
        <v>0.17164148915385552</v>
      </c>
      <c r="AM21" s="250">
        <f t="shared" si="18"/>
        <v>4.1090226510374892</v>
      </c>
      <c r="AN21" s="250">
        <f t="shared" si="18"/>
        <v>0.24358480384414855</v>
      </c>
      <c r="AO21" s="251">
        <f t="shared" si="18"/>
        <v>1.3783067916811831</v>
      </c>
      <c r="AP21" s="291" t="str">
        <f t="shared" si="18"/>
        <v>-</v>
      </c>
      <c r="AQ21" s="292">
        <f t="shared" si="18"/>
        <v>0.42464102931856962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11qLZ+QaV/30pLOwwp8HywzMMv9KZ6Oy7PJokYgWLwDZqxkHmI73sXYWV7Nk0mMpCFy2qAeWzltJGwKs5SCww==" saltValue="xaJuMrTCVwqNWq3QmeB8X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EL EJIDO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0.44444444444444442</v>
      </c>
      <c r="F10" s="348">
        <f>IF(ISNUMBER((Datos!K10-Datos!U10)/Datos!U10),(Datos!K10-Datos!U10)/Datos!U10," - ")</f>
        <v>1.125</v>
      </c>
      <c r="G10" s="349">
        <f>IF(ISNUMBER((Datos!L10-Datos!V10)/Datos!V10),(Datos!L10-Datos!V10)/Datos!V10," - ")</f>
        <v>2.7027027027027029E-2</v>
      </c>
      <c r="H10" s="230">
        <f>IF(ISNUMBER((Datos!M10-Datos!W10)/Datos!W10),(Datos!M10-Datos!W10)/Datos!W10," - ")</f>
        <v>0.8571428571428571</v>
      </c>
      <c r="I10" s="350">
        <f>IF(ISNUMBER((Tasas!C10-Datos!BE10)/Datos!BE10),(Tasas!C10-Datos!BE10)/Datos!BE10," - ")</f>
        <v>-0.51669316375198726</v>
      </c>
      <c r="J10" s="349">
        <f>IF(ISNUMBER((Tasas!D10-Datos!BF10)/Datos!BF10),(Tasas!D10-Datos!BF10)/Datos!BF10," - ")</f>
        <v>-0.12605042016806728</v>
      </c>
      <c r="K10" s="351">
        <f>IF(ISNUMBER((Tasas!E10-Datos!BG10)/Datos!BG10),(Tasas!E10-Datos!BG10)/Datos!BG10," - ")</f>
        <v>-0.42483660130718953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0.3504273504273504</v>
      </c>
      <c r="I12" s="350">
        <f>IF(ISNUMBER((Tasas!C12-Datos!BE12)/Datos!BE12),(Tasas!C12-Datos!BE12)/Datos!BE12," - ")</f>
        <v>-8.4603768521621284E-2</v>
      </c>
      <c r="J12" s="349">
        <f>IF(ISNUMBER((Tasas!D12-Datos!BF12)/Datos!BF12),(Tasas!D12-Datos!BF12)/Datos!BF12," - ")</f>
        <v>-0.53263282564580305</v>
      </c>
      <c r="K12" s="351">
        <f>IF(ISNUMBER((Tasas!E12-Datos!BG12)/Datos!BG12),(Tasas!E12-Datos!BG12)/Datos!BG12," - ")</f>
        <v>-6.8180212319509395E-2</v>
      </c>
      <c r="M12" t="e">
        <f>IF(Monitorios="SI",Datos!CE12,0)</f>
        <v>#REF!</v>
      </c>
      <c r="N12" t="e">
        <f>IF(Monitorios="SI",Datos!CF12,0)</f>
        <v>#REF!</v>
      </c>
      <c r="O12" t="e">
        <f>IF(Monitorios="SI",Datos!CG12,0)</f>
        <v>#REF!</v>
      </c>
      <c r="P12" t="e">
        <f>IF(Monitorios="SI",Datos!CH12,0)</f>
        <v>#REF!</v>
      </c>
      <c r="Q12">
        <f>IF(J_V="SI",0,Datos!AG12)</f>
        <v>106</v>
      </c>
      <c r="R12">
        <f>IF(J_V="SI",0,Datos!AH12)</f>
        <v>107</v>
      </c>
      <c r="S12">
        <f>IF(J_V="SI",0,Datos!AI12)</f>
        <v>93</v>
      </c>
      <c r="T12">
        <f>IF(J_V="SI",0,Datos!AJ12)</f>
        <v>120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0.36514522821576761</v>
      </c>
      <c r="I13" s="357">
        <f>IF(ISNUMBER((Tasas!C13-Datos!BE13)/Datos!BE13),(Tasas!C13-Datos!BE13)/Datos!BE13," - ")</f>
        <v>-9.0025377435588652E-2</v>
      </c>
      <c r="J13" s="355">
        <f>IF(ISNUMBER((Tasas!D13-Datos!BF13)/Datos!BF13),(Tasas!D13-Datos!BF13)/Datos!BF13," - ")</f>
        <v>-0.52223297910662825</v>
      </c>
      <c r="K13" s="358">
        <f>IF(ISNUMBER((Tasas!E13-Datos!BG13)/Datos!BG13),(Tasas!E13-Datos!BG13)/Datos!BG13," - ")</f>
        <v>-7.2561807978158754E-2</v>
      </c>
      <c r="M13" t="e">
        <f>IF(Monitorios="SI",Datos!CE13,0)</f>
        <v>#REF!</v>
      </c>
      <c r="N13" t="e">
        <f>IF(Monitorios="SI",Datos!CF13,0)</f>
        <v>#REF!</v>
      </c>
      <c r="O13" t="e">
        <f>IF(Monitorios="SI",Datos!CG13,0)</f>
        <v>#REF!</v>
      </c>
      <c r="P13" t="e">
        <f>IF(Monitorios="SI",Datos!CH13,0)</f>
        <v>#REF!</v>
      </c>
      <c r="Q13">
        <f>IF(J_V="SI",0,Datos!AG13)</f>
        <v>106</v>
      </c>
      <c r="R13">
        <f>IF(J_V="SI",0,Datos!AH13)</f>
        <v>107</v>
      </c>
      <c r="S13">
        <f>IF(J_V="SI",0,Datos!AI13)</f>
        <v>93</v>
      </c>
      <c r="T13">
        <f>IF(J_V="SI",0,Datos!AJ13)</f>
        <v>120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0.25857002938295787</v>
      </c>
      <c r="E16" s="348">
        <f>IF(ISNUMBER(
   IF(D_I="SI",(Datos!J16-Datos!T16)/Datos!T16,(Datos!J16+Datos!AD16-(Datos!T16+Datos!AL16))/(Datos!T16+Datos!AL16))
     ),IF(D_I="SI",(Datos!J16-Datos!T16)/Datos!T16,(Datos!J16+Datos!AD16-(Datos!T16+Datos!AL16))/(Datos!T16+Datos!AL16))," - ")</f>
        <v>-0.10142954390742001</v>
      </c>
      <c r="F16" s="348">
        <f>IF(ISNUMBER(
   IF(D_I="SI",(Datos!K16-Datos!U16)/Datos!U16,(Datos!K16+Datos!AE16-(Datos!U16+Datos!AM16))/(Datos!U16+Datos!AM16))
     ),IF(D_I="SI",(Datos!K16-Datos!U16)/Datos!U16,(Datos!K16+Datos!AE16-(Datos!U16+Datos!AM16))/(Datos!U16+Datos!AM16))," - ")</f>
        <v>-0.17466666666666666</v>
      </c>
      <c r="G16" s="349">
        <f>IF(ISNUMBER(
   IF(D_I="SI",(Datos!L16-Datos!V16)/Datos!V16,(Datos!L16+Datos!AF16-(Datos!V16+Datos!AN16))/(Datos!V16+Datos!AN16))
     ),IF(D_I="SI",(Datos!L16-Datos!V16)/Datos!V16,(Datos!L16+Datos!AF16-(Datos!V16+Datos!AN16))/(Datos!V16+Datos!AN16))," - ")</f>
        <v>0.38735177865612647</v>
      </c>
      <c r="H16" s="230">
        <f>IF(ISNUMBER((Datos!M16-Datos!W16)/Datos!W16),(Datos!M16-Datos!W16)/Datos!W16," - ")</f>
        <v>0.17582417582417584</v>
      </c>
      <c r="I16" s="350">
        <f>IF(ISNUMBER((Tasas!C16-Datos!BE16)/Datos!BE16),(Tasas!C16-Datos!BE16)/Datos!BE16," - ")</f>
        <v>0.68095934409062175</v>
      </c>
      <c r="J16" s="349">
        <f>IF(ISNUMBER((Tasas!D16-Datos!BF16)/Datos!BF16),(Tasas!D16-Datos!BF16)/Datos!BF16," - ")</f>
        <v>0.42466580269488186</v>
      </c>
      <c r="K16" s="351">
        <f>IF(ISNUMBER((Tasas!E16-Datos!BG16)/Datos!BG16),(Tasas!E16-Datos!BG16)/Datos!BG16," - ")</f>
        <v>0.26759055608540788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-0.36486486486486486</v>
      </c>
      <c r="E17" s="348">
        <f>IF(ISNUMBER(
   IF(D_I="SI",(Datos!J17-Datos!T17)/Datos!T17,(Datos!J17+Datos!AD17-(Datos!T17+Datos!AL17))/(Datos!T17+Datos!AL17))
     ),IF(D_I="SI",(Datos!J17-Datos!T17)/Datos!T17,(Datos!J17+Datos!AD17-(Datos!T17+Datos!AL17))/(Datos!T17+Datos!AL17))," - ")</f>
        <v>-2.5423728813559324E-2</v>
      </c>
      <c r="F17" s="348">
        <f>IF(ISNUMBER(
   IF(D_I="SI",(Datos!K17-Datos!U17)/Datos!U17,(Datos!K17+Datos!AE17-(Datos!U17+Datos!AM17))/(Datos!U17+Datos!AM17))
     ),IF(D_I="SI",(Datos!K17-Datos!U17)/Datos!U17,(Datos!K17+Datos!AE17-(Datos!U17+Datos!AM17))/(Datos!U17+Datos!AM17))," - ")</f>
        <v>-0.46470588235294119</v>
      </c>
      <c r="G17" s="349">
        <f>IF(ISNUMBER(
   IF(D_I="SI",(Datos!L17-Datos!V17)/Datos!V17,(Datos!L17+Datos!AF17-(Datos!V17+Datos!AN17))/(Datos!V17+Datos!AN17))
     ),IF(D_I="SI",(Datos!L17-Datos!V17)/Datos!V17,(Datos!L17+Datos!AF17-(Datos!V17+Datos!AN17))/(Datos!V17+Datos!AN17))," - ")</f>
        <v>2.2272727272727271</v>
      </c>
      <c r="H17" s="230">
        <f>IF(ISNUMBER((Datos!M17-Datos!W17)/Datos!W17),(Datos!M17-Datos!W17)/Datos!W17," - ")</f>
        <v>1.6842105263157894</v>
      </c>
      <c r="I17" s="350">
        <f>IF(ISNUMBER((Tasas!C17-Datos!BE17)/Datos!BE17),(Tasas!C17-Datos!BE17)/Datos!BE17," - ")</f>
        <v>5.0289710289710285</v>
      </c>
      <c r="J17" s="349">
        <f>IF(ISNUMBER((Tasas!D17-Datos!BF17)/Datos!BF17),(Tasas!D17-Datos!BF17)/Datos!BF17," - ")</f>
        <v>4.0144592249855409</v>
      </c>
      <c r="K17" s="351">
        <f>IF(ISNUMBER((Tasas!E17-Datos!BG17)/Datos!BG17),(Tasas!E17-Datos!BG17)/Datos!BG17," - ")</f>
        <v>0.57623626373626369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0.21643835616438356</v>
      </c>
      <c r="E18" s="354">
        <f>IF(ISNUMBER(
   IF(D_I="SI",(Datos!J18-Datos!T18)/Datos!T18,(Datos!J18+Datos!AD18-(Datos!T18+Datos!AL18))/(Datos!T18+Datos!AL18))
     ),IF(D_I="SI",(Datos!J18-Datos!T18)/Datos!T18,(Datos!J18+Datos!AD18-(Datos!T18+Datos!AL18))/(Datos!T18+Datos!AL18))," - ")</f>
        <v>-9.5778197857592937E-2</v>
      </c>
      <c r="F18" s="354">
        <f>IF(ISNUMBER(
   IF(D_I="SI",(Datos!K18-Datos!U18)/Datos!U18,(Datos!K18+Datos!AE18-(Datos!U18+Datos!AM18))/(Datos!U18+Datos!AM18))
     ),IF(D_I="SI",(Datos!K18-Datos!U18)/Datos!U18,(Datos!K18+Datos!AE18-(Datos!U18+Datos!AM18))/(Datos!U18+Datos!AM18))," - ")</f>
        <v>-0.20419161676646708</v>
      </c>
      <c r="G18" s="355">
        <f>IF(ISNUMBER(
   IF(D_I="SI",(Datos!L18-Datos!V18)/Datos!V18,(Datos!L18+Datos!AF18-(Datos!V18+Datos!AN18))/(Datos!V18+Datos!AN18))
     ),IF(D_I="SI",(Datos!L18-Datos!V18)/Datos!V18,(Datos!L18+Datos!AF18-(Datos!V18+Datos!AN18))/(Datos!V18+Datos!AN18))," - ")</f>
        <v>0.42649903288201163</v>
      </c>
      <c r="H18" s="356">
        <f>IF(ISNUMBER((Datos!M18-Datos!W18)/Datos!W18),(Datos!M18-Datos!W18)/Datos!W18," - ")</f>
        <v>0.31840796019900497</v>
      </c>
      <c r="I18" s="357">
        <f>IF(ISNUMBER((Tasas!C18-Datos!BE18)/Datos!BE18),(Tasas!C18-Datos!BE18)/Datos!BE18," - ")</f>
        <v>0.79251571475768179</v>
      </c>
      <c r="J18" s="355">
        <f>IF(ISNUMBER((Tasas!D18-Datos!BF18)/Datos!BF18),(Tasas!D18-Datos!BF18)/Datos!BF18," - ")</f>
        <v>0.65669021334261723</v>
      </c>
      <c r="K18" s="358">
        <f>IF(ISNUMBER((Tasas!E18-Datos!BG18)/Datos!BG18),(Tasas!E18-Datos!BG18)/Datos!BG18," - ")</f>
        <v>0.29640851783957811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0.30643554492926878</v>
      </c>
      <c r="E19" s="363">
        <f>IF(ISNUMBER(
   IF(J_V="SI",(Datos!J19-Datos!T19)/Datos!T19,(Datos!J19+Datos!Z19-(Datos!T19+Datos!AH19))/(Datos!T19+Datos!AH19))
     ),IF(J_V="SI",(Datos!J19-Datos!T19)/Datos!T19,(Datos!J19+Datos!Z19-(Datos!T19+Datos!AH19))/(Datos!T19+Datos!AH19))," - ")</f>
        <v>-4.5926919208850149E-2</v>
      </c>
      <c r="F19" s="363">
        <f>IF(ISNUMBER(
   IF(J_V="SI",(Datos!K19-Datos!U19)/Datos!U19,(Datos!K19+Datos!AA19-(Datos!U19+Datos!AI19))/(Datos!U19+Datos!AI19))
     ),IF(J_V="SI",(Datos!K19-Datos!U19)/Datos!U19,(Datos!K19+Datos!AA19-(Datos!U19+Datos!AI19))/(Datos!U19+Datos!AI19))," - ")</f>
        <v>5.5514433752775726E-3</v>
      </c>
      <c r="G19" s="364">
        <f>IF(ISNUMBER(
   IF(J_V="SI",(Datos!L19-Datos!V19)/Datos!V19,(Datos!L19+Datos!AB19-(Datos!V19+Datos!AJ19))/(Datos!V19+Datos!AJ19))
     ),IF(J_V="SI",(Datos!L19-Datos!V19)/Datos!V19,(Datos!L19+Datos!AB19-(Datos!V19+Datos!AJ19))/(Datos!V19+Datos!AJ19))," - ")</f>
        <v>0.26324689966178128</v>
      </c>
      <c r="H19" s="365">
        <f>IF(ISNUMBER((Datos!M19-Datos!W19)/Datos!W19),(Datos!M19-Datos!W19)/Datos!W19," - ")</f>
        <v>0.34389140271493213</v>
      </c>
      <c r="I19" s="362">
        <f>IF(ISNUMBER((Tasas!C19-Datos!BE19)/Datos!BE19),(Tasas!C19-Datos!BE19)/Datos!BE19," - ")</f>
        <v>0.25627277250133718</v>
      </c>
      <c r="J19" s="363">
        <f>IF(ISNUMBER((Tasas!D19-Datos!BF19)/Datos!BF19),(Tasas!D19-Datos!BF19)/Datos!BF19," - ")</f>
        <v>-0.17149979274434873</v>
      </c>
      <c r="K19" s="364">
        <f>IF(ISNUMBER((Tasas!E19-Datos!BG19)/Datos!BG19),(Tasas!E19-Datos!BG19)/Datos!BG19," - ")</f>
        <v>0.1685938471215836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0.29180598551652498</v>
      </c>
      <c r="E21" s="278">
        <f t="shared" si="1"/>
        <v>0.26162211737709679</v>
      </c>
      <c r="F21" s="278">
        <f t="shared" si="1"/>
        <v>0.71507055262648767</v>
      </c>
      <c r="G21" s="279">
        <f t="shared" si="1"/>
        <v>0.98995456354611266</v>
      </c>
      <c r="H21" s="285">
        <f t="shared" si="1"/>
        <v>0.56824101644539682</v>
      </c>
      <c r="I21" s="277">
        <f t="shared" si="1"/>
        <v>2.0511644169894239</v>
      </c>
      <c r="J21" s="278">
        <f t="shared" si="1"/>
        <v>1.7172870436524637</v>
      </c>
      <c r="K21" s="279">
        <f t="shared" si="1"/>
        <v>0.35408260384260598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Tb8J1lErcKUYoxl22FccnkN3vzLtIbtk+5AKA7bxzWMDVMoKFSULwwWznNz0OoVxDXYf5kIAcoRijMe9k/zDg==" saltValue="offbAdloNFW9SHEp3bL7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